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l Options" sheetId="1" r:id="rId4"/>
    <sheet state="visible" name="JUNK BONDS" sheetId="2" r:id="rId5"/>
    <sheet state="visible" name="SIE Topics" sheetId="3" r:id="rId6"/>
    <sheet state="visible" name="Dow Dividend Analysis" sheetId="4" r:id="rId7"/>
    <sheet state="visible" name="Dividend Stocks" sheetId="5" r:id="rId8"/>
    <sheet state="visible" name="VALUE stock choices" sheetId="6" r:id="rId9"/>
    <sheet state="visible" name="value week to week" sheetId="7" r:id="rId10"/>
    <sheet state="visible" name="DOW TRACKER" sheetId="8" r:id="rId11"/>
    <sheet state="visible" name="Dow Jones Stocks" sheetId="9" r:id="rId12"/>
  </sheets>
  <definedNames/>
  <calcPr/>
</workbook>
</file>

<file path=xl/sharedStrings.xml><?xml version="1.0" encoding="utf-8"?>
<sst xmlns="http://schemas.openxmlformats.org/spreadsheetml/2006/main" count="1151" uniqueCount="588">
  <si>
    <t>Profit if...</t>
  </si>
  <si>
    <t>Greeks</t>
  </si>
  <si>
    <t>Profit% in 7 days if...</t>
  </si>
  <si>
    <t>Profit% in 30 days if...</t>
  </si>
  <si>
    <t>Name</t>
  </si>
  <si>
    <t>Ticker</t>
  </si>
  <si>
    <t>Spot Price</t>
  </si>
  <si>
    <t>Strike</t>
  </si>
  <si>
    <t>Premium</t>
  </si>
  <si>
    <t>Break Even</t>
  </si>
  <si>
    <t>spot up 5%</t>
  </si>
  <si>
    <t>spot up 10%</t>
  </si>
  <si>
    <t>spot up 20%</t>
  </si>
  <si>
    <t>Delta</t>
  </si>
  <si>
    <t>Theta</t>
  </si>
  <si>
    <t>Roger</t>
  </si>
  <si>
    <t>AAPL</t>
  </si>
  <si>
    <t xml:space="preserve"> </t>
  </si>
  <si>
    <t>Elisabeth</t>
  </si>
  <si>
    <t>TX</t>
  </si>
  <si>
    <t>Kristin H</t>
  </si>
  <si>
    <t>JPMorgan</t>
  </si>
  <si>
    <t>Bobby</t>
  </si>
  <si>
    <t>CTRA</t>
  </si>
  <si>
    <t>Paige</t>
  </si>
  <si>
    <t>CVS Health</t>
  </si>
  <si>
    <t xml:space="preserve">Zack </t>
  </si>
  <si>
    <t>DAC</t>
  </si>
  <si>
    <t>Jack M</t>
  </si>
  <si>
    <t>UNM</t>
  </si>
  <si>
    <t>Tova</t>
  </si>
  <si>
    <t>CRK</t>
  </si>
  <si>
    <t>Caleb</t>
  </si>
  <si>
    <t>DISH</t>
  </si>
  <si>
    <t>Sam</t>
  </si>
  <si>
    <t>RAD</t>
  </si>
  <si>
    <t>Aaron</t>
  </si>
  <si>
    <t>ASYS</t>
  </si>
  <si>
    <t>Justin</t>
  </si>
  <si>
    <t>WMT</t>
  </si>
  <si>
    <t>Emily</t>
  </si>
  <si>
    <t>XOM</t>
  </si>
  <si>
    <t>Joey</t>
  </si>
  <si>
    <t>NEP</t>
  </si>
  <si>
    <t>Dan</t>
  </si>
  <si>
    <t>AFL</t>
  </si>
  <si>
    <t>Emily S</t>
  </si>
  <si>
    <t>CODX</t>
  </si>
  <si>
    <t>Jack E</t>
  </si>
  <si>
    <t>CVCO</t>
  </si>
  <si>
    <t>MAX LOSS</t>
  </si>
  <si>
    <t>James Peter Nye</t>
  </si>
  <si>
    <t>RCL</t>
  </si>
  <si>
    <t>JUNK BONDS, aka, High Yield Bonds</t>
  </si>
  <si>
    <t>Consumer Discretionary</t>
  </si>
  <si>
    <t>(min4yrs, max 7 yrs)</t>
  </si>
  <si>
    <t>(yes or no)</t>
  </si>
  <si>
    <t>(yrs)</t>
  </si>
  <si>
    <t>postive?</t>
  </si>
  <si>
    <t>NAME</t>
  </si>
  <si>
    <t>Ticker Symbol</t>
  </si>
  <si>
    <t>Co. Name</t>
  </si>
  <si>
    <t>Sector</t>
  </si>
  <si>
    <t>CURRENT PRICE</t>
  </si>
  <si>
    <t>MKT CAP  ($B)</t>
  </si>
  <si>
    <t>S&amp;P Rating</t>
  </si>
  <si>
    <t>Bond Price</t>
  </si>
  <si>
    <t>Bond CPN</t>
  </si>
  <si>
    <t>Maturity Date</t>
  </si>
  <si>
    <t>Div ?</t>
  </si>
  <si>
    <t>Div History</t>
  </si>
  <si>
    <t>EPS</t>
  </si>
  <si>
    <t>D/E</t>
  </si>
  <si>
    <t>Analyst Est.</t>
  </si>
  <si>
    <t>Decr Shs?</t>
  </si>
  <si>
    <t>Postive CF?</t>
  </si>
  <si>
    <t>Christian Schwarz</t>
  </si>
  <si>
    <t>SQ</t>
  </si>
  <si>
    <t>Block inc.</t>
  </si>
  <si>
    <t>Industrial</t>
  </si>
  <si>
    <t>BB</t>
  </si>
  <si>
    <t>No</t>
  </si>
  <si>
    <t>N/A</t>
  </si>
  <si>
    <t>Increasing</t>
  </si>
  <si>
    <t>Elisabeth Loiselle</t>
  </si>
  <si>
    <t>CAR</t>
  </si>
  <si>
    <t>Avis Budget Group Inc</t>
  </si>
  <si>
    <t>Automotive</t>
  </si>
  <si>
    <t>$8.76B</t>
  </si>
  <si>
    <t>BB-</t>
  </si>
  <si>
    <t>?</t>
  </si>
  <si>
    <t>Decreasing</t>
  </si>
  <si>
    <t xml:space="preserve">Paige Goldberg </t>
  </si>
  <si>
    <t>DAN</t>
  </si>
  <si>
    <t>Dana Inc</t>
  </si>
  <si>
    <t>Yes</t>
  </si>
  <si>
    <t>-</t>
  </si>
  <si>
    <t>Emily Gaffney</t>
  </si>
  <si>
    <t>CVNA</t>
  </si>
  <si>
    <t>Carvana Co</t>
  </si>
  <si>
    <t>Consumer Cyclical</t>
  </si>
  <si>
    <t>1.57B</t>
  </si>
  <si>
    <t>CCC</t>
  </si>
  <si>
    <t>Joey Frey</t>
  </si>
  <si>
    <t>DLX</t>
  </si>
  <si>
    <t>Deluxe Corporation</t>
  </si>
  <si>
    <t>Technology</t>
  </si>
  <si>
    <t>CCC+</t>
  </si>
  <si>
    <t xml:space="preserve">Emily Salvi </t>
  </si>
  <si>
    <t>GPS</t>
  </si>
  <si>
    <t>GAP Inc</t>
  </si>
  <si>
    <t>4.227B</t>
  </si>
  <si>
    <t>Jack Machita</t>
  </si>
  <si>
    <t>CROX</t>
  </si>
  <si>
    <t>Crocs Inc.</t>
  </si>
  <si>
    <t>7.62B</t>
  </si>
  <si>
    <t>B</t>
  </si>
  <si>
    <t>decreasing</t>
  </si>
  <si>
    <t>Bobby Lewit</t>
  </si>
  <si>
    <t>FDX</t>
  </si>
  <si>
    <t>FedEx</t>
  </si>
  <si>
    <t>52.456B</t>
  </si>
  <si>
    <t>BBB</t>
  </si>
  <si>
    <t>yes</t>
  </si>
  <si>
    <t>Kristin Huenink</t>
  </si>
  <si>
    <t>TSLA</t>
  </si>
  <si>
    <t>Tesla Inc</t>
  </si>
  <si>
    <t>590.25B</t>
  </si>
  <si>
    <t>Quinn Rovner</t>
  </si>
  <si>
    <t>COIN</t>
  </si>
  <si>
    <t>Coinbase Global Inc.</t>
  </si>
  <si>
    <t>Financial</t>
  </si>
  <si>
    <t>15.08B</t>
  </si>
  <si>
    <t>increasing</t>
  </si>
  <si>
    <t>Jack Ernst</t>
  </si>
  <si>
    <t>F</t>
  </si>
  <si>
    <t>Ford Motor Company</t>
  </si>
  <si>
    <t>Michael Ruane</t>
  </si>
  <si>
    <t>GT</t>
  </si>
  <si>
    <t>Goodyear Tire &amp; Rubber Company</t>
  </si>
  <si>
    <t>NO</t>
  </si>
  <si>
    <t>Sam Nulman</t>
  </si>
  <si>
    <t>RiteAid</t>
  </si>
  <si>
    <t>Healthcare</t>
  </si>
  <si>
    <t>CCC-</t>
  </si>
  <si>
    <t>Caleb Herring</t>
  </si>
  <si>
    <t>Dish Network Corporation</t>
  </si>
  <si>
    <t>Telecommunications</t>
  </si>
  <si>
    <t>$ 6.156B</t>
  </si>
  <si>
    <t>Justin Allen</t>
  </si>
  <si>
    <t>CCL</t>
  </si>
  <si>
    <t>Carnival Corperation</t>
  </si>
  <si>
    <t>Leisure/Travel Services</t>
  </si>
  <si>
    <t>12.09B</t>
  </si>
  <si>
    <t>B-</t>
  </si>
  <si>
    <t>no</t>
  </si>
  <si>
    <t>Zack Mikuta</t>
  </si>
  <si>
    <t>AVT</t>
  </si>
  <si>
    <t xml:space="preserve">Avnet Inc </t>
  </si>
  <si>
    <t>3.971B</t>
  </si>
  <si>
    <t>BBB-</t>
  </si>
  <si>
    <t xml:space="preserve">yes </t>
  </si>
  <si>
    <t>Dan DiGiacomo</t>
  </si>
  <si>
    <t>AMC</t>
  </si>
  <si>
    <t xml:space="preserve">AMC Entertainment Hldgs, Inc. </t>
  </si>
  <si>
    <t>Leisure/Recreation Services</t>
  </si>
  <si>
    <t>$3.02B</t>
  </si>
  <si>
    <t>James Nye</t>
  </si>
  <si>
    <t>Royal Carribean Cruise Ltd</t>
  </si>
  <si>
    <t>Service Leisure</t>
  </si>
  <si>
    <t>15.959B</t>
  </si>
  <si>
    <t>Aaron Daniels</t>
  </si>
  <si>
    <t>PENN</t>
  </si>
  <si>
    <t xml:space="preserve">PENN entertainment </t>
  </si>
  <si>
    <t>Entertainment</t>
  </si>
  <si>
    <t>4.545B</t>
  </si>
  <si>
    <t>Tova Granowitz</t>
  </si>
  <si>
    <t>Comstock Resources Inc.</t>
  </si>
  <si>
    <t>Energy</t>
  </si>
  <si>
    <t>B+</t>
  </si>
  <si>
    <t>Decreasng</t>
  </si>
  <si>
    <t>CRK5134307</t>
  </si>
  <si>
    <t>Topic #</t>
  </si>
  <si>
    <t>FOR PRESENTATIONS ON 3/31 (Friday)</t>
  </si>
  <si>
    <t>Emily G</t>
  </si>
  <si>
    <t xml:space="preserve">SEC Act of 1933   </t>
  </si>
  <si>
    <t xml:space="preserve">a) General definition </t>
  </si>
  <si>
    <t>Describe and give an example of each of the following types of markets:</t>
  </si>
  <si>
    <t xml:space="preserve">b) Main Purpose  </t>
  </si>
  <si>
    <t>a) primary market</t>
  </si>
  <si>
    <t>c) impact on public companies</t>
  </si>
  <si>
    <t>b) secondary market</t>
  </si>
  <si>
    <t>d) impact on investors view of public companies</t>
  </si>
  <si>
    <t>c) third market</t>
  </si>
  <si>
    <t>d) fourth market (aka "Dark Pools")</t>
  </si>
  <si>
    <t>SEC Act of 1934</t>
  </si>
  <si>
    <t>Elisabeth L</t>
  </si>
  <si>
    <t>US Treasury Department</t>
  </si>
  <si>
    <t>a) What is it?</t>
  </si>
  <si>
    <t>b) what does it do/what is its purpose?</t>
  </si>
  <si>
    <t>c) impact on investors</t>
  </si>
  <si>
    <t>d) more fiscal policy or monetary policy?</t>
  </si>
  <si>
    <t>Christian</t>
  </si>
  <si>
    <t>FINRA</t>
  </si>
  <si>
    <t xml:space="preserve"> Emily G</t>
  </si>
  <si>
    <t>Define and give examples of:</t>
  </si>
  <si>
    <t>b) What does it do?</t>
  </si>
  <si>
    <t>a) IPO</t>
  </si>
  <si>
    <t>c) Impact on Brokers/Dealers</t>
  </si>
  <si>
    <t>b) Secondary offering</t>
  </si>
  <si>
    <t>d) Impact on investors?</t>
  </si>
  <si>
    <t>c) Follow-on Public offering</t>
  </si>
  <si>
    <t>d) shelf registration</t>
  </si>
  <si>
    <t>Quinn</t>
  </si>
  <si>
    <t>SIPC</t>
  </si>
  <si>
    <t>Kristin</t>
  </si>
  <si>
    <t>Define and spell out the characteristics &amp; differences between:</t>
  </si>
  <si>
    <t>a) Brokers, including introducing brokers &amp; clearing brokers</t>
  </si>
  <si>
    <t>b) Dealers</t>
  </si>
  <si>
    <t>d) is it really insurance?</t>
  </si>
  <si>
    <t>c) Broker-Dealers</t>
  </si>
  <si>
    <t>d) Investment advisers</t>
  </si>
  <si>
    <t>Federal Reserve</t>
  </si>
  <si>
    <t>What is an ETF?</t>
  </si>
  <si>
    <t>a) When was it created?</t>
  </si>
  <si>
    <t>a) definition &amp; form</t>
  </si>
  <si>
    <t>b) Strategies &amp; Examples of funds employing them</t>
  </si>
  <si>
    <t>c) 3 most basic roles of the Fed</t>
  </si>
  <si>
    <t>c) Fees?  Tax impacts for investors?</t>
  </si>
  <si>
    <t xml:space="preserve">d) importance of SEC approval of Precidian ActiveShares ETF model in 2019 </t>
  </si>
  <si>
    <t>Div History =</t>
  </si>
  <si>
    <t>USE dividend.com</t>
  </si>
  <si>
    <t>&gt;15 years</t>
  </si>
  <si>
    <t>7-15 years</t>
  </si>
  <si>
    <t>&lt;7 years</t>
  </si>
  <si>
    <t xml:space="preserve">Div Yld = </t>
  </si>
  <si>
    <t>Annual Forward Dividend / spot Price, almost any stock site will provide this value for you</t>
  </si>
  <si>
    <t>&gt;4.0%</t>
  </si>
  <si>
    <t>2%-4%</t>
  </si>
  <si>
    <t>&lt;2%</t>
  </si>
  <si>
    <t>Pay Ratio =</t>
  </si>
  <si>
    <t>Forward Dividend / EPS.  You will probably need to calculate this value, report as a %</t>
  </si>
  <si>
    <t>&lt;55%</t>
  </si>
  <si>
    <t>55-75%</t>
  </si>
  <si>
    <t>&gt;75%</t>
  </si>
  <si>
    <t>forward EPS%</t>
  </si>
  <si>
    <r>
      <rPr>
        <rFont val="Arial"/>
      </rPr>
      <t xml:space="preserve">estimate of future 5 yr EPS growth, many sites will provide this estimate for you (yahoo, finviz, </t>
    </r>
    <r>
      <rPr>
        <rFont val="Arial"/>
        <color rgb="FF1155CC"/>
        <u/>
      </rPr>
      <t>zacks.com</t>
    </r>
    <r>
      <rPr>
        <rFont val="Arial"/>
      </rPr>
      <t>, etc.)</t>
    </r>
  </si>
  <si>
    <t>&gt;7%</t>
  </si>
  <si>
    <t>5-7%</t>
  </si>
  <si>
    <t>&lt;5%</t>
  </si>
  <si>
    <t xml:space="preserve">Beta = </t>
  </si>
  <si>
    <t>measure of volatility relative to the market; almost any stock site will provide this value for you</t>
  </si>
  <si>
    <t>&lt;0.9</t>
  </si>
  <si>
    <t>0.9 to 1.1</t>
  </si>
  <si>
    <t>&gt;1.10</t>
  </si>
  <si>
    <t xml:space="preserve">PE ratio = </t>
  </si>
  <si>
    <t>Price / EPS</t>
  </si>
  <si>
    <t>&lt;20</t>
  </si>
  <si>
    <t>20-40</t>
  </si>
  <si>
    <t>&gt;40</t>
  </si>
  <si>
    <t>Shs Decreasing</t>
  </si>
  <si>
    <t>what is the % decline in the # of shares over the last year (most recent fiscal year end)</t>
  </si>
  <si>
    <t>&lt;-1%</t>
  </si>
  <si>
    <t>-1% to 0%</t>
  </si>
  <si>
    <t xml:space="preserve">&gt;0%, any increase   </t>
  </si>
  <si>
    <r>
      <rPr>
        <rFont val="Arial"/>
        <color rgb="FF1155CC"/>
        <u/>
      </rPr>
      <t xml:space="preserve">use </t>
    </r>
    <r>
      <rPr>
        <rFont val="Arial"/>
        <color rgb="FF1155CC"/>
        <u/>
      </rPr>
      <t>Macrotrends.net, once on that site, find your stock info, and use the following menu items to determine the share quantity history, see below for an example</t>
    </r>
  </si>
  <si>
    <t>DOW JONES 30</t>
  </si>
  <si>
    <t>DIV HIST</t>
  </si>
  <si>
    <t>Div Yld</t>
  </si>
  <si>
    <t>Pay Ratio</t>
  </si>
  <si>
    <t>Beta</t>
  </si>
  <si>
    <t>PE ratio</t>
  </si>
  <si>
    <t>Score (G,Y,R)</t>
  </si>
  <si>
    <t>Justin A</t>
  </si>
  <si>
    <t>AXP</t>
  </si>
  <si>
    <t>American Express Co</t>
  </si>
  <si>
    <t>133.78 ($B)</t>
  </si>
  <si>
    <t>4G, 3R</t>
  </si>
  <si>
    <t xml:space="preserve">  </t>
  </si>
  <si>
    <t>AMGN</t>
  </si>
  <si>
    <t>Amgen Inc</t>
  </si>
  <si>
    <t>128.03 ($B)</t>
  </si>
  <si>
    <t>3G, 3Y, 1R</t>
  </si>
  <si>
    <t>Aaron D</t>
  </si>
  <si>
    <t>Apple Inc</t>
  </si>
  <si>
    <t>3G,2Y,2R</t>
  </si>
  <si>
    <t>Daniel D</t>
  </si>
  <si>
    <t>BA</t>
  </si>
  <si>
    <t>Boeing Co</t>
  </si>
  <si>
    <r>
      <rPr>
        <rFont val="Arial"/>
        <color theme="1"/>
      </rPr>
      <t xml:space="preserve">25* </t>
    </r>
    <r>
      <rPr>
        <rFont val="Arial"/>
        <color theme="1"/>
        <sz val="7.0"/>
      </rPr>
      <t>stopped in 2020</t>
    </r>
  </si>
  <si>
    <t>0*</t>
  </si>
  <si>
    <t>4G, 0Y, 3R</t>
  </si>
  <si>
    <t>CAT</t>
  </si>
  <si>
    <t>Caterpillar Inc</t>
  </si>
  <si>
    <t>4G, 1Y, 2R</t>
  </si>
  <si>
    <t>CSCO</t>
  </si>
  <si>
    <t>Cisco Systems Inc</t>
  </si>
  <si>
    <t>3G, 4Y</t>
  </si>
  <si>
    <t>Joseph F</t>
  </si>
  <si>
    <t>CVX</t>
  </si>
  <si>
    <t>Chevron Corp</t>
  </si>
  <si>
    <t>3G,1Y,3R</t>
  </si>
  <si>
    <t>GS</t>
  </si>
  <si>
    <t>Goldman Sachs Group Inc</t>
  </si>
  <si>
    <t>2G,1Y,4R</t>
  </si>
  <si>
    <t>HD</t>
  </si>
  <si>
    <t>Home Depot Inc</t>
  </si>
  <si>
    <t>329.65B</t>
  </si>
  <si>
    <t>2G,3Y,2R</t>
  </si>
  <si>
    <t>Paige G</t>
  </si>
  <si>
    <t>HON</t>
  </si>
  <si>
    <t>Honeywell International Inc</t>
  </si>
  <si>
    <t>IBM</t>
  </si>
  <si>
    <t>International Business Machines Corp</t>
  </si>
  <si>
    <t>3G, 1Y, 3R</t>
  </si>
  <si>
    <t>Tova G</t>
  </si>
  <si>
    <t>INTC</t>
  </si>
  <si>
    <t>Intel Corp</t>
  </si>
  <si>
    <t>~3G, 2Y, 1R</t>
  </si>
  <si>
    <t>Caleb H</t>
  </si>
  <si>
    <t>JNJ</t>
  </si>
  <si>
    <t>Johnson &amp; Johnson</t>
  </si>
  <si>
    <t>$423.52B</t>
  </si>
  <si>
    <t>2G, 3Y, 2R</t>
  </si>
  <si>
    <t>KO</t>
  </si>
  <si>
    <t>Coca-Cola Co</t>
  </si>
  <si>
    <t>$261.07B</t>
  </si>
  <si>
    <t>JPM</t>
  </si>
  <si>
    <t>JPMorgan Chase &amp; Co</t>
  </si>
  <si>
    <t>$413.699B</t>
  </si>
  <si>
    <t>4G,1Y,2R</t>
  </si>
  <si>
    <t>Robert L</t>
  </si>
  <si>
    <t>MCD</t>
  </si>
  <si>
    <t>McDonald’s Corp</t>
  </si>
  <si>
    <t>4G, 3Y</t>
  </si>
  <si>
    <t>MMM</t>
  </si>
  <si>
    <t>3M Co</t>
  </si>
  <si>
    <t>$63.5 B</t>
  </si>
  <si>
    <t>MRK</t>
  </si>
  <si>
    <t>Merck &amp; Co Inc</t>
  </si>
  <si>
    <t>$271.94B</t>
  </si>
  <si>
    <t>MSFT</t>
  </si>
  <si>
    <t>Microsoft Corp</t>
  </si>
  <si>
    <t>2.02T</t>
  </si>
  <si>
    <t>NKE</t>
  </si>
  <si>
    <t>Nike Inc</t>
  </si>
  <si>
    <t>195.26B</t>
  </si>
  <si>
    <t>Zachary M</t>
  </si>
  <si>
    <t>PG</t>
  </si>
  <si>
    <t>Procter &amp; Gamble Co</t>
  </si>
  <si>
    <t>$323.32B</t>
  </si>
  <si>
    <t>Samuel N</t>
  </si>
  <si>
    <t>TRV</t>
  </si>
  <si>
    <t>Travelers Companies Inc</t>
  </si>
  <si>
    <t>$34.305 B</t>
  </si>
  <si>
    <t>6G, 1R</t>
  </si>
  <si>
    <t>UNH</t>
  </si>
  <si>
    <t>UnitedHealth Group Inc</t>
  </si>
  <si>
    <t>$462.83 B</t>
  </si>
  <si>
    <t>James N</t>
  </si>
  <si>
    <t>CRM</t>
  </si>
  <si>
    <t>Salesforce Inc</t>
  </si>
  <si>
    <t>176.71 B</t>
  </si>
  <si>
    <t>n/a</t>
  </si>
  <si>
    <t>1G, 1Y, 2R</t>
  </si>
  <si>
    <t>Quinn R</t>
  </si>
  <si>
    <t>VZ</t>
  </si>
  <si>
    <t>Verizon Communications Inc</t>
  </si>
  <si>
    <t>$168.54 B</t>
  </si>
  <si>
    <t>5G, 2R</t>
  </si>
  <si>
    <t xml:space="preserve">V </t>
  </si>
  <si>
    <t>Visa Inc</t>
  </si>
  <si>
    <t>$430.52 B</t>
  </si>
  <si>
    <t>Michael R</t>
  </si>
  <si>
    <t>WBA</t>
  </si>
  <si>
    <t>Walgreens Boots Alliance Inc</t>
  </si>
  <si>
    <t>31.148B</t>
  </si>
  <si>
    <t>4G,3Y</t>
  </si>
  <si>
    <t>Walmart Inc</t>
  </si>
  <si>
    <t>392.101B</t>
  </si>
  <si>
    <t>DIS</t>
  </si>
  <si>
    <t>Walt Disney Co</t>
  </si>
  <si>
    <t>2Y, 2R</t>
  </si>
  <si>
    <t>Christian S</t>
  </si>
  <si>
    <t>DOW</t>
  </si>
  <si>
    <t>Dow Inc</t>
  </si>
  <si>
    <t>41.60B</t>
  </si>
  <si>
    <t>COMPANY</t>
  </si>
  <si>
    <t>Div Date</t>
  </si>
  <si>
    <t>Expected $</t>
  </si>
  <si>
    <t>NextEra Energy Partners (NEP)</t>
  </si>
  <si>
    <t>Exxon Mobil</t>
  </si>
  <si>
    <t>3G,3Y,1R</t>
  </si>
  <si>
    <t xml:space="preserve">Dell Inc. </t>
  </si>
  <si>
    <t>1G,3Y,3R</t>
  </si>
  <si>
    <t>1G, 4Y, 2R</t>
  </si>
  <si>
    <t>Pangea Logistics Solutions (PANL)</t>
  </si>
  <si>
    <t>-%</t>
  </si>
  <si>
    <t xml:space="preserve">4G, 2R </t>
  </si>
  <si>
    <t>Capital Product Partners L.P. (CPLP)</t>
  </si>
  <si>
    <t>Jack</t>
  </si>
  <si>
    <t>Devon Energy Corporation (DVN</t>
  </si>
  <si>
    <t>5G,2R</t>
  </si>
  <si>
    <t>Hasbro, Inc (HAS)</t>
  </si>
  <si>
    <t>Sam N.</t>
  </si>
  <si>
    <t>Sachem Capital Corp. (SACH)</t>
  </si>
  <si>
    <t>3G, 4R</t>
  </si>
  <si>
    <t>McDonald's (MCD)</t>
  </si>
  <si>
    <t>Coterra Energy Inc. (CTRA)</t>
  </si>
  <si>
    <t>Pepsico Inc. (PEP)</t>
  </si>
  <si>
    <t>Aflac (AFL)</t>
  </si>
  <si>
    <t>4G, 2Y, 1R</t>
  </si>
  <si>
    <t>Medifast (MED)</t>
  </si>
  <si>
    <t>Jack M.</t>
  </si>
  <si>
    <t>Safe Bulkers (SB)</t>
  </si>
  <si>
    <t>5G, 1Y, 1R</t>
  </si>
  <si>
    <t>ORIX Corporation (IX)</t>
  </si>
  <si>
    <t>5G,1Y,1R</t>
  </si>
  <si>
    <t>Justin A.</t>
  </si>
  <si>
    <t>Verizon (VZ)</t>
  </si>
  <si>
    <t>Caterpillar (CAT)</t>
  </si>
  <si>
    <t>Michael</t>
  </si>
  <si>
    <t>Coca Cola (KO)</t>
  </si>
  <si>
    <t xml:space="preserve">Green </t>
  </si>
  <si>
    <t>Yellow</t>
  </si>
  <si>
    <t>Red</t>
  </si>
  <si>
    <r>
      <rPr>
        <rFont val="Arial"/>
      </rPr>
      <t xml:space="preserve">estimate of future 5 yr EPS growth, many sites will provide this estimate for you (yahoo, finviz, </t>
    </r>
    <r>
      <rPr>
        <rFont val="Arial"/>
        <color rgb="FF1155CC"/>
        <u/>
      </rPr>
      <t>zacks.com</t>
    </r>
    <r>
      <rPr>
        <rFont val="Arial"/>
      </rPr>
      <t>, etc.)</t>
    </r>
  </si>
  <si>
    <r>
      <rPr>
        <rFont val="Arial"/>
        <color rgb="FF1155CC"/>
        <u/>
      </rPr>
      <t xml:space="preserve">use </t>
    </r>
    <r>
      <rPr>
        <rFont val="Arial"/>
        <color rgb="FF1155CC"/>
        <u/>
      </rPr>
      <t>Macrotrends.net, once on that site, find your stock info, and use the following menu items to determine the share quantity history, see below for an example</t>
    </r>
  </si>
  <si>
    <t>For each of the 8 Value Stock Requirements, shade the cell the appropriate color.</t>
  </si>
  <si>
    <t>Then, in the scoring column, note the # of green, # of yellow, and # of red characteristics for your stock.</t>
  </si>
  <si>
    <t>Green</t>
  </si>
  <si>
    <t>5 yr growth</t>
  </si>
  <si>
    <t>&gt;2%</t>
  </si>
  <si>
    <t>Div Yld %</t>
  </si>
  <si>
    <t>&gt;2.25%</t>
  </si>
  <si>
    <t>&gt;1.00%</t>
  </si>
  <si>
    <t>&lt;1.00%</t>
  </si>
  <si>
    <t>P/E</t>
  </si>
  <si>
    <t>&lt;10</t>
  </si>
  <si>
    <t>&gt;20</t>
  </si>
  <si>
    <t>PEG</t>
  </si>
  <si>
    <t>&lt;1</t>
  </si>
  <si>
    <t>&lt;2</t>
  </si>
  <si>
    <t>&gt;2</t>
  </si>
  <si>
    <t>P/Bk</t>
  </si>
  <si>
    <t xml:space="preserve">&lt;1 </t>
  </si>
  <si>
    <t>CR</t>
  </si>
  <si>
    <t>&gt;1.5</t>
  </si>
  <si>
    <t>&lt;1.5</t>
  </si>
  <si>
    <t>Analysts</t>
  </si>
  <si>
    <t>&gt;10% above</t>
  </si>
  <si>
    <t>&gt;spot</t>
  </si>
  <si>
    <t>&lt;spot</t>
  </si>
  <si>
    <t>Good News</t>
  </si>
  <si>
    <t>strong</t>
  </si>
  <si>
    <t>medium</t>
  </si>
  <si>
    <t>weak or none</t>
  </si>
  <si>
    <t>Scoring</t>
  </si>
  <si>
    <t>P/BK</t>
  </si>
  <si>
    <t>(Current Ratio)</t>
  </si>
  <si>
    <t>G,Y,R</t>
  </si>
  <si>
    <t>DivYld (%)</t>
  </si>
  <si>
    <t>Price/EPS</t>
  </si>
  <si>
    <t>CA/CL</t>
  </si>
  <si>
    <t>Analyst Avg</t>
  </si>
  <si>
    <t>EPS 5 yr  growth</t>
  </si>
  <si>
    <t>VALUE STOCK?</t>
  </si>
  <si>
    <t>SU</t>
  </si>
  <si>
    <t>Suncor Energy Inc.</t>
  </si>
  <si>
    <t>6G,1Y,1R</t>
  </si>
  <si>
    <t>Ternium S.A.</t>
  </si>
  <si>
    <t xml:space="preserve">Basic Materials </t>
  </si>
  <si>
    <t>5G,0Y,2R</t>
  </si>
  <si>
    <t>KT</t>
  </si>
  <si>
    <t>KT Corporation</t>
  </si>
  <si>
    <t>Communication Services</t>
  </si>
  <si>
    <t>5G, 1Y, 2R</t>
  </si>
  <si>
    <t>POST</t>
  </si>
  <si>
    <t>Post Holdings, Inc.</t>
  </si>
  <si>
    <t>Consumer Defensive</t>
  </si>
  <si>
    <t>6G, 1Y, 1R</t>
  </si>
  <si>
    <t>DLA</t>
  </si>
  <si>
    <t>Delta Apparel, Inc.</t>
  </si>
  <si>
    <t>7G,1R</t>
  </si>
  <si>
    <t>KEN</t>
  </si>
  <si>
    <t>Kenon Holdings Ltd.</t>
  </si>
  <si>
    <t>Utilities</t>
  </si>
  <si>
    <t>Co-Diagnostics, Inc</t>
  </si>
  <si>
    <t>6G</t>
  </si>
  <si>
    <t xml:space="preserve">Unum Group </t>
  </si>
  <si>
    <t>6G, 1Y</t>
  </si>
  <si>
    <t>Coterra Energy Inc.</t>
  </si>
  <si>
    <t>ASTL</t>
  </si>
  <si>
    <t>Algoma Steel Group Inc.</t>
  </si>
  <si>
    <t>Basic Materials</t>
  </si>
  <si>
    <t>Cavco Industries, Inc</t>
  </si>
  <si>
    <t>MFIN</t>
  </si>
  <si>
    <t>Medallion Financial Corp.</t>
  </si>
  <si>
    <t>Financials</t>
  </si>
  <si>
    <t>6G,1Y</t>
  </si>
  <si>
    <t>SACH</t>
  </si>
  <si>
    <t>Sachem Capital Corp</t>
  </si>
  <si>
    <t>Real Estate</t>
  </si>
  <si>
    <t>---</t>
  </si>
  <si>
    <t>LSEA</t>
  </si>
  <si>
    <t>Landsea Homes Corp.</t>
  </si>
  <si>
    <t>6G, 2R</t>
  </si>
  <si>
    <t>CHGG</t>
  </si>
  <si>
    <t>Chegg, Inc</t>
  </si>
  <si>
    <t>Danaos Corp.</t>
  </si>
  <si>
    <t xml:space="preserve">Industrial </t>
  </si>
  <si>
    <t>7G, 1Y</t>
  </si>
  <si>
    <t>Avnet, Inc.</t>
  </si>
  <si>
    <t>CMLS</t>
  </si>
  <si>
    <t>Cumulus Media</t>
  </si>
  <si>
    <t>7G, 1R</t>
  </si>
  <si>
    <t>Amtech systens Inc.</t>
  </si>
  <si>
    <t>% return</t>
  </si>
  <si>
    <t>Current</t>
  </si>
  <si>
    <t>Price Wt</t>
  </si>
  <si>
    <t>Equal Wt</t>
  </si>
  <si>
    <t>.DJI</t>
  </si>
  <si>
    <t>.INX</t>
  </si>
  <si>
    <t>Price Wt alpha vs SP500</t>
  </si>
  <si>
    <t>Equal Wt alpha vs SP500</t>
  </si>
  <si>
    <t>Equal Wt alpha vs DJIA</t>
  </si>
  <si>
    <t>VALUE WEIGHTED - not sure if we will keep around</t>
  </si>
  <si>
    <t>mkt cap ($B)</t>
  </si>
  <si>
    <t>% of inv</t>
  </si>
  <si>
    <t>wt return</t>
  </si>
  <si>
    <t>Value Weighted Return</t>
  </si>
  <si>
    <t>Value Weighted Alpha vs SP500</t>
  </si>
  <si>
    <t>Value Weighted Alpha vs DJIA</t>
  </si>
  <si>
    <t>DJIA</t>
  </si>
  <si>
    <t>S&amp;P500</t>
  </si>
  <si>
    <t>128.84B</t>
  </si>
  <si>
    <t>2G, 5Y, 1R</t>
  </si>
  <si>
    <t>135.398B</t>
  </si>
  <si>
    <t>1G,3Y,4R</t>
  </si>
  <si>
    <t>2236.79B</t>
  </si>
  <si>
    <t>4G,4R</t>
  </si>
  <si>
    <t>126.98B</t>
  </si>
  <si>
    <t>1G, 1Y, 4R</t>
  </si>
  <si>
    <t>134.495B</t>
  </si>
  <si>
    <t>2G,2Y,4R</t>
  </si>
  <si>
    <t>195.76B</t>
  </si>
  <si>
    <t>3G,3Y,2R</t>
  </si>
  <si>
    <t>342.64B</t>
  </si>
  <si>
    <t>3G, 3Y, 2R</t>
  </si>
  <si>
    <t>121.03B</t>
  </si>
  <si>
    <t>2G, 1Y, 3R</t>
  </si>
  <si>
    <t>319.55B</t>
  </si>
  <si>
    <t>1G, 3Y,4R</t>
  </si>
  <si>
    <t>Page G</t>
  </si>
  <si>
    <t>138.01B</t>
  </si>
  <si>
    <t>3G, 2Y, 3R</t>
  </si>
  <si>
    <t>127.40B</t>
  </si>
  <si>
    <t>1G, 1Y, 6R</t>
  </si>
  <si>
    <t>120.10B</t>
  </si>
  <si>
    <t>4G, 3Y, 1R</t>
  </si>
  <si>
    <t>441.10B</t>
  </si>
  <si>
    <t>3G, 1Y, 4R</t>
  </si>
  <si>
    <t>261.91B</t>
  </si>
  <si>
    <t>3G,3R,2Y</t>
  </si>
  <si>
    <t>199.5B</t>
  </si>
  <si>
    <t>62.8B</t>
  </si>
  <si>
    <t>2G, 3Y, 3R</t>
  </si>
  <si>
    <t>275.04B</t>
  </si>
  <si>
    <t>1.7T</t>
  </si>
  <si>
    <t>193.41B</t>
  </si>
  <si>
    <t>334.78B</t>
  </si>
  <si>
    <t>2G, 2Y, 4R</t>
  </si>
  <si>
    <t>43.43B</t>
  </si>
  <si>
    <t xml:space="preserve">4Y,4R </t>
  </si>
  <si>
    <t>454.16B</t>
  </si>
  <si>
    <t>159.81B</t>
  </si>
  <si>
    <t>169.38B</t>
  </si>
  <si>
    <t>455.23B</t>
  </si>
  <si>
    <t>1G,2Y,5R</t>
  </si>
  <si>
    <t>31.07B</t>
  </si>
  <si>
    <t>383.863B</t>
  </si>
  <si>
    <t>200.398B</t>
  </si>
  <si>
    <t>2G, 1Y, 5R</t>
  </si>
  <si>
    <t>40.902B</t>
  </si>
  <si>
    <t>sum</t>
  </si>
  <si>
    <t>by calc</t>
  </si>
  <si>
    <t>actual</t>
  </si>
  <si>
    <t>Divisor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</si>
</sst>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mmm d, yyyy"/>
    <numFmt numFmtId="165" formatCode="&quot;$&quot;#,##0.00"/>
    <numFmt numFmtId="166" formatCode="0.0000"/>
    <numFmt numFmtId="167" formatCode="0.000000"/>
    <numFmt numFmtId="168" formatCode="mm/dd/yyyy"/>
    <numFmt numFmtId="169" formatCode="m/d/yyyy"/>
    <numFmt numFmtId="170" formatCode="m/d/yy"/>
    <numFmt numFmtId="171" formatCode="0.000%"/>
    <numFmt numFmtId="172" formatCode="0.000"/>
    <numFmt numFmtId="173" formatCode="&quot;$&quot;#,##0"/>
    <numFmt numFmtId="174" formatCode="mm/dd/yy"/>
    <numFmt numFmtId="175" formatCode="m/d"/>
    <numFmt numFmtId="176" formatCode="m/d/yyyy h:mm:ss"/>
  </numFmts>
  <fonts count="28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>
      <color theme="1"/>
      <name val="Arial"/>
      <scheme val="minor"/>
    </font>
    <font>
      <sz val="12.0"/>
      <color theme="1"/>
      <name val="Times New Roman"/>
    </font>
    <font>
      <sz val="12.0"/>
      <color rgb="FF000000"/>
      <name val="Times New Roman"/>
    </font>
    <font/>
    <font>
      <sz val="9.0"/>
      <color rgb="FF000000"/>
      <name val="&quot;Google Sans Mono&quot;"/>
    </font>
    <font>
      <color rgb="FF434343"/>
      <name val="Arial"/>
      <scheme val="minor"/>
    </font>
    <font>
      <b/>
      <color theme="1"/>
      <name val="Arial"/>
      <scheme val="minor"/>
    </font>
    <font>
      <b/>
      <sz val="9.0"/>
      <color theme="1"/>
      <name val="Arial"/>
      <scheme val="minor"/>
    </font>
    <font>
      <sz val="9.0"/>
      <color rgb="FF000000"/>
      <name val="Verdana"/>
    </font>
    <font>
      <b/>
      <i/>
      <color theme="1"/>
      <name val="Arial"/>
    </font>
    <font>
      <b/>
      <sz val="12.0"/>
      <color theme="1"/>
      <name val="Arial"/>
    </font>
    <font>
      <u/>
      <color rgb="FF0000FF"/>
      <name val="Arial"/>
    </font>
    <font>
      <u/>
      <color rgb="FF1155CC"/>
      <name val="Arial"/>
    </font>
    <font>
      <b/>
      <sz val="9.0"/>
      <color rgb="FF4A4A4A"/>
      <name val="Arial"/>
      <scheme val="minor"/>
    </font>
    <font>
      <sz val="8.0"/>
      <color rgb="FF000000"/>
      <name val="Verdana"/>
    </font>
    <font>
      <color rgb="FF000000"/>
      <name val="Arial"/>
      <scheme val="minor"/>
    </font>
    <font>
      <i/>
      <color theme="1"/>
      <name val="Arial"/>
    </font>
    <font>
      <i/>
      <color theme="1"/>
      <name val="Arial"/>
      <scheme val="minor"/>
    </font>
    <font>
      <u/>
      <color rgb="FF0000FF"/>
      <name val="Arial"/>
    </font>
    <font>
      <u/>
      <color rgb="FF1155CC"/>
      <name val="Arial"/>
    </font>
    <font>
      <color rgb="FFFFFFFF"/>
      <name val="Arial"/>
      <scheme val="minor"/>
    </font>
    <font>
      <sz val="11.0"/>
      <color rgb="FF000000"/>
      <name val="Inconsolata"/>
    </font>
    <font>
      <b/>
      <strike/>
      <color theme="1"/>
      <name val="Arial"/>
    </font>
    <font>
      <strike/>
      <color theme="1"/>
      <name val="Arial"/>
    </font>
    <font>
      <sz val="10.0"/>
      <color rgb="FF404040"/>
      <name val="Arial"/>
      <scheme val="minor"/>
    </font>
  </fonts>
  <fills count="36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CC4125"/>
        <bgColor rgb="FFCC4125"/>
      </patternFill>
    </fill>
    <fill>
      <patternFill patternType="solid">
        <fgColor rgb="FFFFD966"/>
        <bgColor rgb="FFFFD966"/>
      </patternFill>
    </fill>
    <fill>
      <patternFill patternType="solid">
        <fgColor rgb="FFD9D2E9"/>
        <bgColor rgb="FFD9D2E9"/>
      </patternFill>
    </fill>
    <fill>
      <patternFill patternType="solid">
        <fgColor rgb="FF6D9EEB"/>
        <bgColor rgb="FF6D9EEB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F1C232"/>
        <bgColor rgb="FFF1C232"/>
      </patternFill>
    </fill>
    <fill>
      <patternFill patternType="solid">
        <fgColor rgb="FFF6B26B"/>
        <bgColor rgb="FFF6B26B"/>
      </patternFill>
    </fill>
    <fill>
      <patternFill patternType="solid">
        <fgColor rgb="FFF4CCCC"/>
        <bgColor rgb="FFF4CCCC"/>
      </patternFill>
    </fill>
    <fill>
      <patternFill patternType="solid">
        <fgColor rgb="FF4A86E8"/>
        <bgColor rgb="FF4A86E8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B7E1CD"/>
        <bgColor rgb="FFB7E1CD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34A853"/>
        <bgColor rgb="FF34A853"/>
      </patternFill>
    </fill>
    <fill>
      <patternFill patternType="solid">
        <fgColor rgb="FFEA4335"/>
        <bgColor rgb="FFEA4335"/>
      </patternFill>
    </fill>
    <fill>
      <patternFill patternType="solid">
        <fgColor rgb="FFCCCCCC"/>
        <bgColor rgb="FFCCCCCC"/>
      </patternFill>
    </fill>
    <fill>
      <patternFill patternType="solid">
        <fgColor theme="5"/>
        <bgColor theme="5"/>
      </patternFill>
    </fill>
    <fill>
      <patternFill patternType="solid">
        <fgColor theme="7"/>
        <bgColor theme="7"/>
      </patternFill>
    </fill>
    <fill>
      <patternFill patternType="solid">
        <fgColor rgb="FFF8F8F8"/>
        <bgColor rgb="FFF8F8F8"/>
      </patternFill>
    </fill>
    <fill>
      <patternFill patternType="solid">
        <fgColor rgb="FFFF0000"/>
        <bgColor rgb="FFFF0000"/>
      </patternFill>
    </fill>
    <fill>
      <patternFill patternType="solid">
        <fgColor rgb="FF6AA84F"/>
        <bgColor rgb="FF6AA84F"/>
      </patternFill>
    </fill>
    <fill>
      <patternFill patternType="solid">
        <fgColor rgb="FFF4F4F4"/>
        <bgColor rgb="FFF4F4F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4285F4"/>
        <bgColor rgb="FF4285F4"/>
      </patternFill>
    </fill>
    <fill>
      <patternFill patternType="solid">
        <fgColor rgb="FFCFE2F3"/>
        <bgColor rgb="FFCFE2F3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164" xfId="0" applyAlignment="1" applyFont="1" applyNumberFormat="1">
      <alignment horizontal="center" readingOrder="0" vertical="bottom"/>
    </xf>
    <xf borderId="0" fillId="0" fontId="2" numFmtId="0" xfId="0" applyAlignment="1" applyFont="1">
      <alignment shrinkToFit="0" vertical="bottom" wrapText="0"/>
    </xf>
    <xf borderId="1" fillId="0" fontId="1" numFmtId="0" xfId="0" applyAlignment="1" applyBorder="1" applyFont="1">
      <alignment vertical="bottom"/>
    </xf>
    <xf borderId="2" fillId="2" fontId="1" numFmtId="0" xfId="0" applyAlignment="1" applyBorder="1" applyFill="1" applyFont="1">
      <alignment readingOrder="0" vertical="bottom"/>
    </xf>
    <xf borderId="3" fillId="2" fontId="1" numFmtId="0" xfId="0" applyAlignment="1" applyBorder="1" applyFont="1">
      <alignment readingOrder="0" vertical="bottom"/>
    </xf>
    <xf borderId="3" fillId="2" fontId="1" numFmtId="2" xfId="0" applyAlignment="1" applyBorder="1" applyFont="1" applyNumberFormat="1">
      <alignment horizontal="right" readingOrder="0" vertical="bottom"/>
    </xf>
    <xf borderId="3" fillId="2" fontId="1" numFmtId="165" xfId="0" applyAlignment="1" applyBorder="1" applyFont="1" applyNumberFormat="1">
      <alignment horizontal="right" readingOrder="0" vertical="bottom"/>
    </xf>
    <xf borderId="3" fillId="2" fontId="1" numFmtId="165" xfId="0" applyAlignment="1" applyBorder="1" applyFont="1" applyNumberFormat="1">
      <alignment horizontal="right" vertical="bottom"/>
    </xf>
    <xf borderId="3" fillId="2" fontId="1" numFmtId="166" xfId="0" applyAlignment="1" applyBorder="1" applyFont="1" applyNumberFormat="1">
      <alignment horizontal="right" readingOrder="0" vertical="bottom"/>
    </xf>
    <xf borderId="3" fillId="2" fontId="1" numFmtId="167" xfId="0" applyAlignment="1" applyBorder="1" applyFont="1" applyNumberFormat="1">
      <alignment horizontal="right" vertical="bottom"/>
    </xf>
    <xf borderId="3" fillId="2" fontId="1" numFmtId="0" xfId="0" applyAlignment="1" applyBorder="1" applyFont="1">
      <alignment vertical="bottom"/>
    </xf>
    <xf borderId="1" fillId="2" fontId="1" numFmtId="0" xfId="0" applyAlignment="1" applyBorder="1" applyFont="1">
      <alignment vertical="bottom"/>
    </xf>
    <xf borderId="2" fillId="2" fontId="1" numFmtId="0" xfId="0" applyAlignment="1" applyBorder="1" applyFont="1">
      <alignment vertical="bottom"/>
    </xf>
    <xf borderId="3" fillId="2" fontId="1" numFmtId="0" xfId="0" applyAlignment="1" applyBorder="1" applyFont="1">
      <alignment horizontal="right" readingOrder="0" vertical="bottom"/>
    </xf>
    <xf borderId="0" fillId="3" fontId="3" numFmtId="0" xfId="0" applyAlignment="1" applyFill="1" applyFont="1">
      <alignment readingOrder="0"/>
    </xf>
    <xf borderId="0" fillId="3" fontId="3" numFmtId="165" xfId="0" applyAlignment="1" applyFont="1" applyNumberFormat="1">
      <alignment readingOrder="0"/>
    </xf>
    <xf borderId="0" fillId="3" fontId="3" numFmtId="165" xfId="0" applyFont="1" applyNumberFormat="1"/>
    <xf borderId="0" fillId="3" fontId="3" numFmtId="0" xfId="0" applyFont="1"/>
    <xf borderId="0" fillId="4" fontId="4" numFmtId="0" xfId="0" applyAlignment="1" applyFill="1" applyFont="1">
      <alignment readingOrder="0"/>
    </xf>
    <xf borderId="0" fillId="4" fontId="5" numFmtId="0" xfId="0" applyFont="1"/>
    <xf borderId="0" fillId="4" fontId="3" numFmtId="0" xfId="0" applyFont="1"/>
    <xf borderId="0" fillId="5" fontId="3" numFmtId="0" xfId="0" applyAlignment="1" applyFill="1" applyFont="1">
      <alignment readingOrder="0"/>
    </xf>
    <xf borderId="0" fillId="5" fontId="3" numFmtId="165" xfId="0" applyAlignment="1" applyFont="1" applyNumberFormat="1">
      <alignment readingOrder="0"/>
    </xf>
    <xf borderId="0" fillId="5" fontId="3" numFmtId="165" xfId="0" applyFont="1" applyNumberFormat="1"/>
    <xf borderId="0" fillId="5" fontId="3" numFmtId="0" xfId="0" applyFont="1"/>
    <xf borderId="0" fillId="6" fontId="3" numFmtId="0" xfId="0" applyAlignment="1" applyFill="1" applyFont="1">
      <alignment readingOrder="0"/>
    </xf>
    <xf borderId="0" fillId="6" fontId="3" numFmtId="2" xfId="0" applyAlignment="1" applyFont="1" applyNumberFormat="1">
      <alignment readingOrder="0"/>
    </xf>
    <xf borderId="0" fillId="6" fontId="3" numFmtId="0" xfId="0" applyFont="1"/>
    <xf borderId="0" fillId="7" fontId="3" numFmtId="0" xfId="0" applyAlignment="1" applyFill="1" applyFont="1">
      <alignment readingOrder="0"/>
    </xf>
    <xf borderId="0" fillId="7" fontId="3" numFmtId="0" xfId="0" applyFont="1"/>
    <xf borderId="0" fillId="7" fontId="3" numFmtId="165" xfId="0" applyFont="1" applyNumberFormat="1"/>
    <xf borderId="0" fillId="8" fontId="3" numFmtId="0" xfId="0" applyAlignment="1" applyFill="1" applyFont="1">
      <alignment readingOrder="0"/>
    </xf>
    <xf borderId="0" fillId="8" fontId="3" numFmtId="2" xfId="0" applyAlignment="1" applyFont="1" applyNumberFormat="1">
      <alignment readingOrder="0"/>
    </xf>
    <xf borderId="0" fillId="8" fontId="3" numFmtId="2" xfId="0" applyFont="1" applyNumberFormat="1"/>
    <xf borderId="0" fillId="8" fontId="3" numFmtId="0" xfId="0" applyFont="1"/>
    <xf borderId="4" fillId="9" fontId="3" numFmtId="0" xfId="0" applyAlignment="1" applyBorder="1" applyFill="1" applyFont="1">
      <alignment horizontal="center" readingOrder="0" vertical="center"/>
    </xf>
    <xf borderId="5" fillId="9" fontId="3" numFmtId="0" xfId="0" applyAlignment="1" applyBorder="1" applyFont="1">
      <alignment readingOrder="0"/>
    </xf>
    <xf borderId="5" fillId="9" fontId="3" numFmtId="0" xfId="0" applyBorder="1" applyFont="1"/>
    <xf borderId="6" fillId="0" fontId="6" numFmtId="0" xfId="0" applyBorder="1" applyFont="1"/>
    <xf borderId="2" fillId="0" fontId="6" numFmtId="0" xfId="0" applyBorder="1" applyFont="1"/>
    <xf borderId="5" fillId="10" fontId="3" numFmtId="0" xfId="0" applyAlignment="1" applyBorder="1" applyFill="1" applyFont="1">
      <alignment readingOrder="0"/>
    </xf>
    <xf borderId="5" fillId="10" fontId="3" numFmtId="2" xfId="0" applyAlignment="1" applyBorder="1" applyFont="1" applyNumberFormat="1">
      <alignment readingOrder="0"/>
    </xf>
    <xf borderId="5" fillId="10" fontId="3" numFmtId="2" xfId="0" applyBorder="1" applyFont="1" applyNumberFormat="1"/>
    <xf borderId="5" fillId="10" fontId="3" numFmtId="165" xfId="0" applyBorder="1" applyFont="1" applyNumberFormat="1"/>
    <xf borderId="5" fillId="10" fontId="3" numFmtId="0" xfId="0" applyBorder="1" applyFont="1"/>
    <xf borderId="7" fillId="10" fontId="3" numFmtId="0" xfId="0" applyBorder="1" applyFont="1"/>
    <xf borderId="0" fillId="11" fontId="3" numFmtId="0" xfId="0" applyAlignment="1" applyFill="1" applyFont="1">
      <alignment readingOrder="0"/>
    </xf>
    <xf borderId="0" fillId="11" fontId="3" numFmtId="165" xfId="0" applyAlignment="1" applyFont="1" applyNumberFormat="1">
      <alignment readingOrder="0"/>
    </xf>
    <xf borderId="0" fillId="11" fontId="3" numFmtId="165" xfId="0" applyFont="1" applyNumberFormat="1"/>
    <xf borderId="0" fillId="11" fontId="7" numFmtId="165" xfId="0" applyFont="1" applyNumberFormat="1"/>
    <xf borderId="0" fillId="11" fontId="3" numFmtId="0" xfId="0" applyFont="1"/>
    <xf borderId="0" fillId="12" fontId="3" numFmtId="0" xfId="0" applyAlignment="1" applyFill="1" applyFont="1">
      <alignment readingOrder="0"/>
    </xf>
    <xf borderId="0" fillId="12" fontId="3" numFmtId="0" xfId="0" applyFont="1"/>
    <xf borderId="0" fillId="13" fontId="3" numFmtId="0" xfId="0" applyAlignment="1" applyFill="1" applyFont="1">
      <alignment readingOrder="0"/>
    </xf>
    <xf borderId="0" fillId="13" fontId="3" numFmtId="0" xfId="0" applyFont="1"/>
    <xf borderId="0" fillId="14" fontId="3" numFmtId="0" xfId="0" applyAlignment="1" applyFill="1" applyFont="1">
      <alignment readingOrder="0"/>
    </xf>
    <xf borderId="0" fillId="14" fontId="3" numFmtId="0" xfId="0" applyFont="1"/>
    <xf borderId="0" fillId="15" fontId="3" numFmtId="0" xfId="0" applyAlignment="1" applyFill="1" applyFont="1">
      <alignment readingOrder="0"/>
    </xf>
    <xf borderId="0" fillId="15" fontId="3" numFmtId="0" xfId="0" applyFont="1"/>
    <xf borderId="0" fillId="15" fontId="1" numFmtId="165" xfId="0" applyAlignment="1" applyFont="1" applyNumberFormat="1">
      <alignment horizontal="right" vertical="bottom"/>
    </xf>
    <xf borderId="0" fillId="16" fontId="3" numFmtId="0" xfId="0" applyAlignment="1" applyFill="1" applyFont="1">
      <alignment readingOrder="0"/>
    </xf>
    <xf borderId="0" fillId="17" fontId="3" numFmtId="0" xfId="0" applyAlignment="1" applyFill="1" applyFont="1">
      <alignment readingOrder="0"/>
    </xf>
    <xf borderId="0" fillId="16" fontId="3" numFmtId="0" xfId="0" applyFont="1"/>
    <xf borderId="0" fillId="16" fontId="1" numFmtId="165" xfId="0" applyAlignment="1" applyFont="1" applyNumberFormat="1">
      <alignment horizontal="right" vertical="bottom"/>
    </xf>
    <xf borderId="3" fillId="16" fontId="1" numFmtId="167" xfId="0" applyAlignment="1" applyBorder="1" applyFont="1" applyNumberFormat="1">
      <alignment horizontal="right" vertical="bottom"/>
    </xf>
    <xf borderId="0" fillId="16" fontId="1" numFmtId="165" xfId="0" applyAlignment="1" applyFont="1" applyNumberFormat="1">
      <alignment horizontal="right" readingOrder="0" vertical="bottom"/>
    </xf>
    <xf borderId="0" fillId="9" fontId="3" numFmtId="0" xfId="0" applyAlignment="1" applyFont="1">
      <alignment readingOrder="0"/>
    </xf>
    <xf borderId="0" fillId="9" fontId="3" numFmtId="0" xfId="0" applyFont="1"/>
    <xf borderId="0" fillId="18" fontId="3" numFmtId="0" xfId="0" applyAlignment="1" applyFill="1" applyFont="1">
      <alignment readingOrder="0"/>
    </xf>
    <xf borderId="0" fillId="18" fontId="3" numFmtId="0" xfId="0" applyFont="1"/>
    <xf borderId="0" fillId="19" fontId="8" numFmtId="0" xfId="0" applyAlignment="1" applyFill="1" applyFont="1">
      <alignment readingOrder="0"/>
    </xf>
    <xf borderId="0" fillId="19" fontId="8" numFmtId="0" xfId="0" applyFont="1"/>
    <xf borderId="0" fillId="0" fontId="9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5" fillId="0" fontId="10" numFmtId="0" xfId="0" applyAlignment="1" applyBorder="1" applyFont="1">
      <alignment horizontal="left" readingOrder="0" shrinkToFit="0" wrapText="0"/>
    </xf>
    <xf borderId="5" fillId="0" fontId="10" numFmtId="0" xfId="0" applyAlignment="1" applyBorder="1" applyFont="1">
      <alignment horizontal="center" readingOrder="0" shrinkToFit="0" wrapText="0"/>
    </xf>
    <xf borderId="5" fillId="0" fontId="9" numFmtId="0" xfId="0" applyAlignment="1" applyBorder="1" applyFont="1">
      <alignment horizontal="center" readingOrder="0"/>
    </xf>
    <xf borderId="5" fillId="20" fontId="2" numFmtId="0" xfId="0" applyAlignment="1" applyBorder="1" applyFill="1" applyFont="1">
      <alignment horizontal="center" vertical="bottom"/>
    </xf>
    <xf borderId="5" fillId="14" fontId="9" numFmtId="0" xfId="0" applyAlignment="1" applyBorder="1" applyFont="1">
      <alignment horizontal="center" readingOrder="0"/>
    </xf>
    <xf borderId="5" fillId="0" fontId="3" numFmtId="0" xfId="0" applyAlignment="1" applyBorder="1" applyFont="1">
      <alignment readingOrder="0"/>
    </xf>
    <xf borderId="5" fillId="0" fontId="3" numFmtId="0" xfId="0" applyAlignment="1" applyBorder="1" applyFont="1">
      <alignment horizontal="center" readingOrder="0"/>
    </xf>
    <xf borderId="5" fillId="0" fontId="3" numFmtId="10" xfId="0" applyAlignment="1" applyBorder="1" applyFont="1" applyNumberFormat="1">
      <alignment horizontal="center" readingOrder="0"/>
    </xf>
    <xf borderId="5" fillId="0" fontId="3" numFmtId="168" xfId="0" applyAlignment="1" applyBorder="1" applyFont="1" applyNumberFormat="1">
      <alignment horizontal="center" readingOrder="0"/>
    </xf>
    <xf borderId="5" fillId="0" fontId="3" numFmtId="4" xfId="0" applyAlignment="1" applyBorder="1" applyFont="1" applyNumberFormat="1">
      <alignment horizontal="center" readingOrder="0"/>
    </xf>
    <xf borderId="5" fillId="0" fontId="3" numFmtId="165" xfId="0" applyAlignment="1" applyBorder="1" applyFont="1" applyNumberFormat="1">
      <alignment horizontal="center" readingOrder="0"/>
    </xf>
    <xf borderId="5" fillId="0" fontId="3" numFmtId="9" xfId="0" applyAlignment="1" applyBorder="1" applyFont="1" applyNumberFormat="1">
      <alignment horizontal="center" readingOrder="0"/>
    </xf>
    <xf borderId="5" fillId="0" fontId="3" numFmtId="169" xfId="0" applyAlignment="1" applyBorder="1" applyFont="1" applyNumberFormat="1">
      <alignment horizontal="center" readingOrder="0"/>
    </xf>
    <xf borderId="0" fillId="21" fontId="11" numFmtId="0" xfId="0" applyFill="1" applyFont="1"/>
    <xf borderId="5" fillId="0" fontId="3" numFmtId="170" xfId="0" applyAlignment="1" applyBorder="1" applyFont="1" applyNumberFormat="1">
      <alignment horizontal="center" readingOrder="0"/>
    </xf>
    <xf borderId="5" fillId="0" fontId="3" numFmtId="0" xfId="0" applyAlignment="1" applyBorder="1" applyFont="1">
      <alignment horizontal="center"/>
    </xf>
    <xf borderId="5" fillId="0" fontId="3" numFmtId="165" xfId="0" applyAlignment="1" applyBorder="1" applyFont="1" applyNumberFormat="1">
      <alignment horizontal="center" readingOrder="0"/>
    </xf>
    <xf borderId="5" fillId="0" fontId="3" numFmtId="171" xfId="0" applyAlignment="1" applyBorder="1" applyFont="1" applyNumberFormat="1">
      <alignment horizontal="center" readingOrder="0"/>
    </xf>
    <xf borderId="5" fillId="0" fontId="3" numFmtId="172" xfId="0" applyAlignment="1" applyBorder="1" applyFont="1" applyNumberFormat="1">
      <alignment horizontal="center" readingOrder="0"/>
    </xf>
    <xf borderId="0" fillId="21" fontId="11" numFmtId="0" xfId="0" applyAlignment="1" applyFont="1">
      <alignment horizontal="left" readingOrder="0" vertical="top"/>
    </xf>
    <xf borderId="0" fillId="21" fontId="11" numFmtId="0" xfId="0" applyAlignment="1" applyFont="1">
      <alignment horizontal="left" vertical="top"/>
    </xf>
    <xf borderId="5" fillId="0" fontId="2" numFmtId="0" xfId="0" applyAlignment="1" applyBorder="1" applyFont="1">
      <alignment horizontal="center" vertical="bottom"/>
    </xf>
    <xf borderId="8" fillId="0" fontId="1" numFmtId="0" xfId="0" applyAlignment="1" applyBorder="1" applyFont="1">
      <alignment vertical="bottom"/>
    </xf>
    <xf borderId="0" fillId="0" fontId="9" numFmtId="0" xfId="0" applyFont="1"/>
    <xf borderId="2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vertical="bottom"/>
    </xf>
    <xf borderId="8" fillId="0" fontId="2" numFmtId="0" xfId="0" applyAlignment="1" applyBorder="1" applyFont="1">
      <alignment horizontal="center" vertical="bottom"/>
    </xf>
    <xf borderId="2" fillId="0" fontId="1" numFmtId="0" xfId="0" applyAlignment="1" applyBorder="1" applyFont="1">
      <alignment vertical="bottom"/>
    </xf>
    <xf borderId="2" fillId="16" fontId="1" numFmtId="0" xfId="0" applyAlignment="1" applyBorder="1" applyFont="1">
      <alignment horizontal="center" readingOrder="0" vertical="bottom"/>
    </xf>
    <xf borderId="3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readingOrder="0" vertical="bottom"/>
    </xf>
    <xf borderId="9" fillId="0" fontId="1" numFmtId="0" xfId="0" applyAlignment="1" applyBorder="1" applyFont="1">
      <alignment shrinkToFit="0" vertical="bottom" wrapText="0"/>
    </xf>
    <xf borderId="5" fillId="0" fontId="3" numFmtId="0" xfId="0" applyBorder="1" applyFont="1"/>
    <xf borderId="5" fillId="0" fontId="1" numFmtId="0" xfId="0" applyAlignment="1" applyBorder="1" applyFont="1">
      <alignment horizontal="center" vertical="bottom"/>
    </xf>
    <xf borderId="5" fillId="16" fontId="3" numFmtId="0" xfId="0" applyAlignment="1" applyBorder="1" applyFont="1">
      <alignment readingOrder="0"/>
    </xf>
    <xf borderId="5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vertical="bottom"/>
    </xf>
    <xf borderId="0" fillId="0" fontId="1" numFmtId="0" xfId="0" applyAlignment="1" applyFont="1">
      <alignment readingOrder="0" vertical="bottom"/>
    </xf>
    <xf borderId="0" fillId="0" fontId="12" numFmtId="0" xfId="0" applyAlignment="1" applyFont="1">
      <alignment horizontal="right" vertical="bottom"/>
    </xf>
    <xf borderId="0" fillId="0" fontId="12" numFmtId="0" xfId="0" applyAlignment="1" applyFont="1">
      <alignment horizontal="right" vertical="bottom"/>
    </xf>
    <xf borderId="0" fillId="0" fontId="12" numFmtId="0" xfId="0" applyAlignment="1" applyFont="1">
      <alignment vertical="bottom"/>
    </xf>
    <xf borderId="0" fillId="0" fontId="12" numFmtId="3" xfId="0" applyAlignment="1" applyFont="1" applyNumberFormat="1">
      <alignment vertical="bottom"/>
    </xf>
    <xf borderId="0" fillId="0" fontId="13" numFmtId="0" xfId="0" applyAlignment="1" applyFont="1">
      <alignment shrinkToFit="0" vertical="bottom" wrapText="0"/>
    </xf>
    <xf borderId="3" fillId="0" fontId="1" numFmtId="3" xfId="0" applyAlignment="1" applyBorder="1" applyFont="1" applyNumberFormat="1">
      <alignment vertical="bottom"/>
    </xf>
    <xf borderId="3" fillId="22" fontId="1" numFmtId="0" xfId="0" applyAlignment="1" applyBorder="1" applyFill="1" applyFont="1">
      <alignment horizontal="center" readingOrder="0" vertical="bottom"/>
    </xf>
    <xf borderId="3" fillId="16" fontId="1" numFmtId="0" xfId="0" applyAlignment="1" applyBorder="1" applyFont="1">
      <alignment horizontal="center" readingOrder="0" vertical="bottom"/>
    </xf>
    <xf borderId="3" fillId="23" fontId="1" numFmtId="0" xfId="0" applyAlignment="1" applyBorder="1" applyFill="1" applyFont="1">
      <alignment horizontal="center" readingOrder="0" vertical="bottom"/>
    </xf>
    <xf borderId="3" fillId="22" fontId="1" numFmtId="0" xfId="0" applyAlignment="1" applyBorder="1" applyFont="1">
      <alignment horizontal="center" vertical="bottom"/>
    </xf>
    <xf borderId="3" fillId="16" fontId="1" numFmtId="0" xfId="0" applyAlignment="1" applyBorder="1" applyFont="1">
      <alignment horizontal="center" vertical="bottom"/>
    </xf>
    <xf borderId="3" fillId="23" fontId="1" numFmtId="0" xfId="0" applyAlignment="1" applyBorder="1" applyFont="1">
      <alignment horizontal="center" vertical="bottom"/>
    </xf>
    <xf borderId="1" fillId="0" fontId="14" numFmtId="0" xfId="0" applyAlignment="1" applyBorder="1" applyFont="1">
      <alignment readingOrder="0" shrinkToFit="0" vertical="bottom" wrapText="0"/>
    </xf>
    <xf borderId="10" fillId="0" fontId="1" numFmtId="0" xfId="0" applyAlignment="1" applyBorder="1" applyFont="1">
      <alignment vertical="bottom"/>
    </xf>
    <xf borderId="1" fillId="0" fontId="15" numFmtId="0" xfId="0" applyAlignment="1" applyBorder="1" applyFont="1">
      <alignment readingOrder="0" shrinkToFit="0" vertical="bottom" wrapText="0"/>
    </xf>
    <xf borderId="1" fillId="0" fontId="1" numFmtId="3" xfId="0" applyAlignment="1" applyBorder="1" applyFont="1" applyNumberFormat="1">
      <alignment vertical="bottom"/>
    </xf>
    <xf borderId="0" fillId="0" fontId="3" numFmtId="0" xfId="0" applyFont="1"/>
    <xf borderId="0" fillId="0" fontId="1" numFmtId="3" xfId="0" applyAlignment="1" applyFont="1" applyNumberFormat="1">
      <alignment vertical="bottom"/>
    </xf>
    <xf borderId="0" fillId="0" fontId="16" numFmtId="0" xfId="0" applyAlignment="1" applyFont="1">
      <alignment horizontal="left" readingOrder="0" shrinkToFit="0" wrapText="0"/>
    </xf>
    <xf borderId="0" fillId="0" fontId="10" numFmtId="0" xfId="0" applyAlignment="1" applyFont="1">
      <alignment horizontal="left" readingOrder="0" shrinkToFit="0" wrapText="0"/>
    </xf>
    <xf borderId="5" fillId="16" fontId="10" numFmtId="0" xfId="0" applyAlignment="1" applyBorder="1" applyFont="1">
      <alignment horizontal="left" readingOrder="0" shrinkToFit="0" wrapText="0"/>
    </xf>
    <xf borderId="5" fillId="16" fontId="3" numFmtId="0" xfId="0" applyBorder="1" applyFont="1"/>
    <xf borderId="5" fillId="16" fontId="1" numFmtId="0" xfId="0" applyAlignment="1" applyBorder="1" applyFont="1">
      <alignment vertical="bottom"/>
    </xf>
    <xf borderId="8" fillId="16" fontId="1" numFmtId="0" xfId="0" applyAlignment="1" applyBorder="1" applyFont="1">
      <alignment vertical="bottom"/>
    </xf>
    <xf borderId="9" fillId="16" fontId="1" numFmtId="0" xfId="0" applyAlignment="1" applyBorder="1" applyFont="1">
      <alignment vertical="bottom"/>
    </xf>
    <xf borderId="8" fillId="16" fontId="13" numFmtId="3" xfId="0" applyAlignment="1" applyBorder="1" applyFont="1" applyNumberFormat="1">
      <alignment shrinkToFit="0" vertical="bottom" wrapText="0"/>
    </xf>
    <xf borderId="3" fillId="21" fontId="1" numFmtId="0" xfId="0" applyAlignment="1" applyBorder="1" applyFont="1">
      <alignment vertical="bottom"/>
    </xf>
    <xf borderId="3" fillId="0" fontId="1" numFmtId="0" xfId="0" applyAlignment="1" applyBorder="1" applyFont="1">
      <alignment readingOrder="0" vertical="bottom"/>
    </xf>
    <xf borderId="3" fillId="0" fontId="1" numFmtId="0" xfId="0" applyAlignment="1" applyBorder="1" applyFont="1">
      <alignment horizontal="center" readingOrder="0" vertical="bottom"/>
    </xf>
    <xf borderId="3" fillId="0" fontId="2" numFmtId="0" xfId="0" applyAlignment="1" applyBorder="1" applyFont="1">
      <alignment horizontal="center" vertical="bottom"/>
    </xf>
    <xf borderId="8" fillId="24" fontId="2" numFmtId="3" xfId="0" applyAlignment="1" applyBorder="1" applyFill="1" applyFont="1" applyNumberFormat="1">
      <alignment horizontal="center" vertical="bottom"/>
    </xf>
    <xf borderId="8" fillId="24" fontId="2" numFmtId="0" xfId="0" applyAlignment="1" applyBorder="1" applyFont="1">
      <alignment horizontal="center" vertical="bottom"/>
    </xf>
    <xf borderId="8" fillId="24" fontId="2" numFmtId="0" xfId="0" applyAlignment="1" applyBorder="1" applyFont="1">
      <alignment vertical="bottom"/>
    </xf>
    <xf borderId="5" fillId="0" fontId="3" numFmtId="165" xfId="0" applyAlignment="1" applyBorder="1" applyFont="1" applyNumberFormat="1">
      <alignment horizontal="center"/>
    </xf>
    <xf borderId="5" fillId="25" fontId="3" numFmtId="3" xfId="0" applyAlignment="1" applyBorder="1" applyFill="1" applyFont="1" applyNumberFormat="1">
      <alignment readingOrder="0"/>
    </xf>
    <xf borderId="5" fillId="25" fontId="3" numFmtId="10" xfId="0" applyAlignment="1" applyBorder="1" applyFont="1" applyNumberFormat="1">
      <alignment readingOrder="0"/>
    </xf>
    <xf borderId="5" fillId="26" fontId="3" numFmtId="10" xfId="0" applyAlignment="1" applyBorder="1" applyFill="1" applyFont="1" applyNumberFormat="1">
      <alignment readingOrder="0"/>
    </xf>
    <xf borderId="5" fillId="25" fontId="3" numFmtId="0" xfId="0" applyAlignment="1" applyBorder="1" applyFont="1">
      <alignment readingOrder="0"/>
    </xf>
    <xf borderId="5" fillId="26" fontId="3" numFmtId="0" xfId="0" applyAlignment="1" applyBorder="1" applyFont="1">
      <alignment readingOrder="0"/>
    </xf>
    <xf borderId="5" fillId="27" fontId="10" numFmtId="0" xfId="0" applyAlignment="1" applyBorder="1" applyFill="1" applyFont="1">
      <alignment horizontal="left" readingOrder="0" shrinkToFit="0" wrapText="0"/>
    </xf>
    <xf borderId="5" fillId="16" fontId="3" numFmtId="3" xfId="0" applyAlignment="1" applyBorder="1" applyFont="1" applyNumberFormat="1">
      <alignment readingOrder="0"/>
    </xf>
    <xf borderId="5" fillId="16" fontId="3" numFmtId="10" xfId="0" applyAlignment="1" applyBorder="1" applyFont="1" applyNumberFormat="1">
      <alignment readingOrder="0"/>
    </xf>
    <xf borderId="5" fillId="0" fontId="3" numFmtId="173" xfId="0" applyAlignment="1" applyBorder="1" applyFont="1" applyNumberFormat="1">
      <alignment horizontal="center" readingOrder="0"/>
    </xf>
    <xf borderId="5" fillId="28" fontId="3" numFmtId="10" xfId="0" applyAlignment="1" applyBorder="1" applyFill="1" applyFont="1" applyNumberFormat="1">
      <alignment readingOrder="0"/>
    </xf>
    <xf borderId="5" fillId="29" fontId="3" numFmtId="10" xfId="0" applyAlignment="1" applyBorder="1" applyFill="1" applyFont="1" applyNumberFormat="1">
      <alignment readingOrder="0"/>
    </xf>
    <xf borderId="5" fillId="28" fontId="3" numFmtId="0" xfId="0" applyAlignment="1" applyBorder="1" applyFont="1">
      <alignment readingOrder="0"/>
    </xf>
    <xf borderId="5" fillId="20" fontId="3" numFmtId="3" xfId="0" applyAlignment="1" applyBorder="1" applyFont="1" applyNumberFormat="1">
      <alignment readingOrder="0"/>
    </xf>
    <xf borderId="5" fillId="23" fontId="3" numFmtId="0" xfId="0" applyAlignment="1" applyBorder="1" applyFont="1">
      <alignment readingOrder="0"/>
    </xf>
    <xf borderId="5" fillId="22" fontId="3" numFmtId="0" xfId="0" applyAlignment="1" applyBorder="1" applyFont="1">
      <alignment readingOrder="0"/>
    </xf>
    <xf borderId="5" fillId="25" fontId="3" numFmtId="9" xfId="0" applyAlignment="1" applyBorder="1" applyFont="1" applyNumberFormat="1">
      <alignment readingOrder="0"/>
    </xf>
    <xf borderId="5" fillId="22" fontId="3" numFmtId="10" xfId="0" applyAlignment="1" applyBorder="1" applyFont="1" applyNumberFormat="1">
      <alignment readingOrder="0"/>
    </xf>
    <xf borderId="5" fillId="22" fontId="3" numFmtId="3" xfId="0" applyAlignment="1" applyBorder="1" applyFont="1" applyNumberFormat="1">
      <alignment readingOrder="0"/>
    </xf>
    <xf borderId="5" fillId="23" fontId="3" numFmtId="10" xfId="0" applyAlignment="1" applyBorder="1" applyFont="1" applyNumberFormat="1">
      <alignment readingOrder="0"/>
    </xf>
    <xf borderId="5" fillId="22" fontId="3" numFmtId="2" xfId="0" applyAlignment="1" applyBorder="1" applyFont="1" applyNumberFormat="1">
      <alignment horizontal="right"/>
    </xf>
    <xf borderId="5" fillId="28" fontId="3" numFmtId="3" xfId="0" applyAlignment="1" applyBorder="1" applyFont="1" applyNumberFormat="1">
      <alignment readingOrder="0"/>
    </xf>
    <xf borderId="0" fillId="30" fontId="17" numFmtId="0" xfId="0" applyAlignment="1" applyFill="1" applyFont="1">
      <alignment readingOrder="0" shrinkToFit="0" wrapText="0"/>
    </xf>
    <xf borderId="5" fillId="22" fontId="3" numFmtId="10" xfId="0" applyBorder="1" applyFont="1" applyNumberFormat="1"/>
    <xf borderId="5" fillId="28" fontId="3" numFmtId="10" xfId="0" applyBorder="1" applyFont="1" applyNumberFormat="1"/>
    <xf borderId="5" fillId="28" fontId="18" numFmtId="10" xfId="0" applyAlignment="1" applyBorder="1" applyFont="1" applyNumberFormat="1">
      <alignment readingOrder="0"/>
    </xf>
    <xf borderId="5" fillId="26" fontId="3" numFmtId="3" xfId="0" applyAlignment="1" applyBorder="1" applyFont="1" applyNumberFormat="1">
      <alignment readingOrder="0"/>
    </xf>
    <xf borderId="5" fillId="28" fontId="3" numFmtId="9" xfId="0" applyAlignment="1" applyBorder="1" applyFont="1" applyNumberFormat="1">
      <alignment readingOrder="0"/>
    </xf>
    <xf borderId="5" fillId="28" fontId="10" numFmtId="0" xfId="0" applyAlignment="1" applyBorder="1" applyFont="1">
      <alignment horizontal="left" readingOrder="0" shrinkToFit="0" wrapText="0"/>
    </xf>
    <xf borderId="5" fillId="22" fontId="3" numFmtId="9" xfId="0" applyAlignment="1" applyBorder="1" applyFont="1" applyNumberFormat="1">
      <alignment readingOrder="0"/>
    </xf>
    <xf borderId="5" fillId="0" fontId="3" numFmtId="2" xfId="0" applyAlignment="1" applyBorder="1" applyFont="1" applyNumberFormat="1">
      <alignment horizontal="center" readingOrder="0"/>
    </xf>
    <xf borderId="5" fillId="0" fontId="3" numFmtId="3" xfId="0" applyAlignment="1" applyBorder="1" applyFont="1" applyNumberFormat="1">
      <alignment readingOrder="0"/>
    </xf>
    <xf borderId="5" fillId="28" fontId="3" numFmtId="165" xfId="0" applyAlignment="1" applyBorder="1" applyFont="1" applyNumberFormat="1">
      <alignment readingOrder="0"/>
    </xf>
    <xf borderId="5" fillId="23" fontId="10" numFmtId="0" xfId="0" applyAlignment="1" applyBorder="1" applyFont="1">
      <alignment horizontal="left" readingOrder="0" shrinkToFit="0" wrapText="0"/>
    </xf>
    <xf borderId="5" fillId="22" fontId="3" numFmtId="4" xfId="0" applyBorder="1" applyFont="1" applyNumberFormat="1"/>
    <xf borderId="5" fillId="16" fontId="3" numFmtId="10" xfId="0" applyBorder="1" applyFont="1" applyNumberFormat="1"/>
    <xf borderId="5" fillId="0" fontId="3" numFmtId="4" xfId="0" applyAlignment="1" applyBorder="1" applyFont="1" applyNumberFormat="1">
      <alignment readingOrder="0"/>
    </xf>
    <xf borderId="0" fillId="0" fontId="3" numFmtId="3" xfId="0" applyFont="1" applyNumberFormat="1"/>
    <xf borderId="0" fillId="0" fontId="3" numFmtId="4" xfId="0" applyFont="1" applyNumberFormat="1"/>
    <xf borderId="3" fillId="24" fontId="2" numFmtId="0" xfId="0" applyAlignment="1" applyBorder="1" applyFont="1">
      <alignment horizontal="center" vertical="bottom"/>
    </xf>
    <xf borderId="8" fillId="24" fontId="2" numFmtId="0" xfId="0" applyAlignment="1" applyBorder="1" applyFont="1">
      <alignment horizontal="center" readingOrder="0" vertical="bottom"/>
    </xf>
    <xf borderId="2" fillId="15" fontId="1" numFmtId="0" xfId="0" applyAlignment="1" applyBorder="1" applyFont="1">
      <alignment readingOrder="0" vertical="bottom"/>
    </xf>
    <xf borderId="3" fillId="31" fontId="19" numFmtId="0" xfId="0" applyAlignment="1" applyBorder="1" applyFill="1" applyFont="1">
      <alignment readingOrder="0" vertical="bottom"/>
    </xf>
    <xf borderId="5" fillId="32" fontId="3" numFmtId="174" xfId="0" applyAlignment="1" applyBorder="1" applyFill="1" applyFont="1" applyNumberFormat="1">
      <alignment readingOrder="0"/>
    </xf>
    <xf borderId="5" fillId="32" fontId="18" numFmtId="165" xfId="0" applyAlignment="1" applyBorder="1" applyFont="1" applyNumberFormat="1">
      <alignment readingOrder="0"/>
    </xf>
    <xf borderId="5" fillId="16" fontId="18" numFmtId="0" xfId="0" applyAlignment="1" applyBorder="1" applyFont="1">
      <alignment readingOrder="0"/>
    </xf>
    <xf borderId="5" fillId="22" fontId="3" numFmtId="10" xfId="0" applyAlignment="1" applyBorder="1" applyFont="1" applyNumberFormat="1">
      <alignment horizontal="center" readingOrder="0"/>
    </xf>
    <xf borderId="5" fillId="28" fontId="3" numFmtId="10" xfId="0" applyAlignment="1" applyBorder="1" applyFont="1" applyNumberFormat="1">
      <alignment horizontal="center" readingOrder="0"/>
    </xf>
    <xf borderId="5" fillId="22" fontId="3" numFmtId="0" xfId="0" applyAlignment="1" applyBorder="1" applyFont="1">
      <alignment horizontal="center" readingOrder="0"/>
    </xf>
    <xf borderId="5" fillId="28" fontId="3" numFmtId="0" xfId="0" applyAlignment="1" applyBorder="1" applyFont="1">
      <alignment horizontal="center" readingOrder="0"/>
    </xf>
    <xf borderId="5" fillId="32" fontId="3" numFmtId="0" xfId="0" applyAlignment="1" applyBorder="1" applyFont="1">
      <alignment readingOrder="0"/>
    </xf>
    <xf borderId="5" fillId="16" fontId="3" numFmtId="10" xfId="0" applyAlignment="1" applyBorder="1" applyFont="1" applyNumberFormat="1">
      <alignment horizontal="center" readingOrder="0"/>
    </xf>
    <xf borderId="5" fillId="16" fontId="3" numFmtId="0" xfId="0" applyAlignment="1" applyBorder="1" applyFont="1">
      <alignment horizontal="center" readingOrder="0"/>
    </xf>
    <xf borderId="3" fillId="32" fontId="3" numFmtId="170" xfId="0" applyAlignment="1" applyBorder="1" applyFont="1" applyNumberFormat="1">
      <alignment readingOrder="0"/>
    </xf>
    <xf borderId="3" fillId="32" fontId="3" numFmtId="165" xfId="0" applyAlignment="1" applyBorder="1" applyFont="1" applyNumberFormat="1">
      <alignment readingOrder="0"/>
    </xf>
    <xf borderId="3" fillId="32" fontId="3" numFmtId="165" xfId="0" applyAlignment="1" applyBorder="1" applyFont="1" applyNumberFormat="1">
      <alignment readingOrder="0"/>
    </xf>
    <xf borderId="5" fillId="28" fontId="3" numFmtId="10" xfId="0" applyAlignment="1" applyBorder="1" applyFont="1" applyNumberFormat="1">
      <alignment horizontal="center"/>
    </xf>
    <xf borderId="3" fillId="32" fontId="3" numFmtId="174" xfId="0" applyAlignment="1" applyBorder="1" applyFont="1" applyNumberFormat="1">
      <alignment readingOrder="0"/>
    </xf>
    <xf borderId="5" fillId="26" fontId="3" numFmtId="10" xfId="0" applyAlignment="1" applyBorder="1" applyFont="1" applyNumberFormat="1">
      <alignment horizontal="center" readingOrder="0"/>
    </xf>
    <xf borderId="5" fillId="26" fontId="3" numFmtId="0" xfId="0" applyAlignment="1" applyBorder="1" applyFont="1">
      <alignment horizontal="center" readingOrder="0"/>
    </xf>
    <xf borderId="2" fillId="33" fontId="1" numFmtId="0" xfId="0" applyAlignment="1" applyBorder="1" applyFill="1" applyFont="1">
      <alignment readingOrder="0" vertical="bottom"/>
    </xf>
    <xf borderId="3" fillId="32" fontId="3" numFmtId="0" xfId="0" applyAlignment="1" applyBorder="1" applyFont="1">
      <alignment readingOrder="0"/>
    </xf>
    <xf borderId="3" fillId="32" fontId="3" numFmtId="175" xfId="0" applyAlignment="1" applyBorder="1" applyFont="1" applyNumberFormat="1">
      <alignment readingOrder="0"/>
    </xf>
    <xf borderId="5" fillId="22" fontId="3" numFmtId="9" xfId="0" applyAlignment="1" applyBorder="1" applyFont="1" applyNumberFormat="1">
      <alignment horizontal="center" readingOrder="0"/>
    </xf>
    <xf borderId="3" fillId="32" fontId="20" numFmtId="0" xfId="0" applyAlignment="1" applyBorder="1" applyFont="1">
      <alignment readingOrder="0"/>
    </xf>
    <xf borderId="5" fillId="22" fontId="20" numFmtId="0" xfId="0" applyAlignment="1" applyBorder="1" applyFont="1">
      <alignment readingOrder="0"/>
    </xf>
    <xf borderId="5" fillId="22" fontId="20" numFmtId="0" xfId="0" applyAlignment="1" applyBorder="1" applyFont="1">
      <alignment horizontal="center" readingOrder="0"/>
    </xf>
    <xf borderId="5" fillId="0" fontId="18" numFmtId="0" xfId="0" applyAlignment="1" applyBorder="1" applyFont="1">
      <alignment readingOrder="0"/>
    </xf>
    <xf borderId="5" fillId="29" fontId="3" numFmtId="10" xfId="0" applyAlignment="1" applyBorder="1" applyFont="1" applyNumberFormat="1">
      <alignment horizontal="center" readingOrder="0"/>
    </xf>
    <xf borderId="5" fillId="29" fontId="3" numFmtId="0" xfId="0" applyAlignment="1" applyBorder="1" applyFont="1">
      <alignment horizontal="center" readingOrder="0"/>
    </xf>
    <xf borderId="3" fillId="32" fontId="3" numFmtId="168" xfId="0" applyAlignment="1" applyBorder="1" applyFont="1" applyNumberFormat="1">
      <alignment readingOrder="0"/>
    </xf>
    <xf borderId="3" fillId="32" fontId="3" numFmtId="169" xfId="0" applyAlignment="1" applyBorder="1" applyFont="1" applyNumberFormat="1">
      <alignment readingOrder="0"/>
    </xf>
    <xf borderId="3" fillId="31" fontId="1" numFmtId="0" xfId="0" applyAlignment="1" applyBorder="1" applyFont="1">
      <alignment readingOrder="0" vertical="bottom"/>
    </xf>
    <xf borderId="5" fillId="16" fontId="3" numFmtId="4" xfId="0" applyAlignment="1" applyBorder="1" applyFont="1" applyNumberFormat="1">
      <alignment horizontal="center" readingOrder="0"/>
    </xf>
    <xf borderId="3" fillId="32" fontId="3" numFmtId="3" xfId="0" applyAlignment="1" applyBorder="1" applyFont="1" applyNumberFormat="1">
      <alignment readingOrder="0"/>
    </xf>
    <xf borderId="3" fillId="32" fontId="18" numFmtId="0" xfId="0" applyAlignment="1" applyBorder="1" applyFont="1">
      <alignment readingOrder="0"/>
    </xf>
    <xf borderId="1" fillId="24" fontId="1" numFmtId="0" xfId="0" applyAlignment="1" applyBorder="1" applyFont="1">
      <alignment vertical="bottom"/>
    </xf>
    <xf borderId="3" fillId="24" fontId="1" numFmtId="0" xfId="0" applyAlignment="1" applyBorder="1" applyFont="1">
      <alignment vertical="bottom"/>
    </xf>
    <xf borderId="3" fillId="24" fontId="1" numFmtId="10" xfId="0" applyAlignment="1" applyBorder="1" applyFont="1" applyNumberFormat="1">
      <alignment vertical="bottom"/>
    </xf>
    <xf borderId="1" fillId="24" fontId="2" numFmtId="0" xfId="0" applyAlignment="1" applyBorder="1" applyFont="1">
      <alignment horizontal="center" vertical="bottom"/>
    </xf>
    <xf borderId="1" fillId="0" fontId="21" numFmtId="0" xfId="0" applyAlignment="1" applyBorder="1" applyFont="1">
      <alignment shrinkToFit="0" vertical="bottom" wrapText="0"/>
    </xf>
    <xf borderId="1" fillId="0" fontId="22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vertical="bottom"/>
    </xf>
    <xf borderId="0" fillId="0" fontId="12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3" fillId="0" fontId="1" numFmtId="0" xfId="0" applyAlignment="1" applyBorder="1" applyFont="1">
      <alignment vertical="bottom"/>
    </xf>
    <xf borderId="8" fillId="20" fontId="2" numFmtId="0" xfId="0" applyAlignment="1" applyBorder="1" applyFont="1">
      <alignment horizontal="right" vertical="bottom"/>
    </xf>
    <xf borderId="8" fillId="16" fontId="2" numFmtId="0" xfId="0" applyAlignment="1" applyBorder="1" applyFont="1">
      <alignment horizontal="right" vertical="bottom"/>
    </xf>
    <xf borderId="8" fillId="28" fontId="2" numFmtId="0" xfId="0" applyAlignment="1" applyBorder="1" applyFont="1">
      <alignment horizontal="right" vertical="bottom"/>
    </xf>
    <xf borderId="2" fillId="0" fontId="2" numFmtId="0" xfId="0" applyAlignment="1" applyBorder="1" applyFont="1">
      <alignment horizontal="right" vertical="bottom"/>
    </xf>
    <xf borderId="3" fillId="20" fontId="1" numFmtId="0" xfId="0" applyAlignment="1" applyBorder="1" applyFont="1">
      <alignment horizontal="right" vertical="bottom"/>
    </xf>
    <xf borderId="3" fillId="16" fontId="1" numFmtId="0" xfId="0" applyAlignment="1" applyBorder="1" applyFont="1">
      <alignment horizontal="right" vertical="bottom"/>
    </xf>
    <xf borderId="3" fillId="28" fontId="1" numFmtId="0" xfId="0" applyAlignment="1" applyBorder="1" applyFont="1">
      <alignment horizontal="right" vertical="bottom"/>
    </xf>
    <xf borderId="8" fillId="16" fontId="13" numFmtId="0" xfId="0" applyAlignment="1" applyBorder="1" applyFont="1">
      <alignment shrinkToFit="0" vertical="bottom" wrapText="0"/>
    </xf>
    <xf borderId="5" fillId="0" fontId="9" numFmtId="0" xfId="0" applyAlignment="1" applyBorder="1" applyFont="1">
      <alignment readingOrder="0"/>
    </xf>
    <xf borderId="5" fillId="0" fontId="2" numFmtId="0" xfId="0" applyAlignment="1" applyBorder="1" applyFont="1">
      <alignment horizontal="left" vertical="bottom"/>
    </xf>
    <xf borderId="3" fillId="34" fontId="2" numFmtId="0" xfId="0" applyAlignment="1" applyBorder="1" applyFill="1" applyFont="1">
      <alignment horizontal="center" vertical="bottom"/>
    </xf>
    <xf borderId="5" fillId="20" fontId="3" numFmtId="0" xfId="0" applyAlignment="1" applyBorder="1" applyFont="1">
      <alignment readingOrder="0"/>
    </xf>
    <xf borderId="5" fillId="20" fontId="18" numFmtId="0" xfId="0" applyAlignment="1" applyBorder="1" applyFont="1">
      <alignment readingOrder="0"/>
    </xf>
    <xf borderId="5" fillId="0" fontId="3" numFmtId="165" xfId="0" applyAlignment="1" applyBorder="1" applyFont="1" applyNumberFormat="1">
      <alignment readingOrder="0"/>
    </xf>
    <xf borderId="5" fillId="20" fontId="3" numFmtId="10" xfId="0" applyAlignment="1" applyBorder="1" applyFont="1" applyNumberFormat="1">
      <alignment readingOrder="0"/>
    </xf>
    <xf borderId="5" fillId="0" fontId="3" numFmtId="0" xfId="0" applyAlignment="1" applyBorder="1" applyFont="1">
      <alignment horizontal="right" readingOrder="0"/>
    </xf>
    <xf borderId="5" fillId="20" fontId="3" numFmtId="165" xfId="0" applyAlignment="1" applyBorder="1" applyFont="1" applyNumberFormat="1">
      <alignment readingOrder="0"/>
    </xf>
    <xf borderId="5" fillId="20" fontId="3" numFmtId="9" xfId="0" applyAlignment="1" applyBorder="1" applyFont="1" applyNumberFormat="1">
      <alignment horizontal="right" readingOrder="0"/>
    </xf>
    <xf borderId="5" fillId="0" fontId="3" numFmtId="165" xfId="0" applyAlignment="1" applyBorder="1" applyFont="1" applyNumberFormat="1">
      <alignment readingOrder="0"/>
    </xf>
    <xf borderId="5" fillId="20" fontId="3" numFmtId="9" xfId="0" applyAlignment="1" applyBorder="1" applyFont="1" applyNumberFormat="1">
      <alignment readingOrder="0"/>
    </xf>
    <xf borderId="5" fillId="0" fontId="3" numFmtId="172" xfId="0" applyAlignment="1" applyBorder="1" applyFont="1" applyNumberFormat="1">
      <alignment readingOrder="0"/>
    </xf>
    <xf borderId="5" fillId="28" fontId="23" numFmtId="0" xfId="0" applyAlignment="1" applyBorder="1" applyFont="1">
      <alignment readingOrder="0"/>
    </xf>
    <xf borderId="0" fillId="20" fontId="24" numFmtId="0" xfId="0" applyFont="1"/>
    <xf borderId="0" fillId="0" fontId="3" numFmtId="175" xfId="0" applyFont="1" applyNumberFormat="1"/>
    <xf borderId="0" fillId="0" fontId="3" numFmtId="10" xfId="0" applyFont="1" applyNumberFormat="1"/>
    <xf borderId="0" fillId="0" fontId="3" numFmtId="0" xfId="0" applyFont="1"/>
    <xf borderId="5" fillId="0" fontId="3" numFmtId="0" xfId="0" applyBorder="1" applyFont="1"/>
    <xf borderId="5" fillId="0" fontId="9" numFmtId="175" xfId="0" applyAlignment="1" applyBorder="1" applyFont="1" applyNumberFormat="1">
      <alignment horizontal="center" readingOrder="0"/>
    </xf>
    <xf borderId="5" fillId="0" fontId="3" numFmtId="0" xfId="0" applyAlignment="1" applyBorder="1" applyFont="1">
      <alignment horizontal="center" readingOrder="0"/>
    </xf>
    <xf borderId="5" fillId="0" fontId="9" numFmtId="0" xfId="0" applyAlignment="1" applyBorder="1" applyFont="1">
      <alignment horizontal="center" readingOrder="0"/>
    </xf>
    <xf borderId="5" fillId="0" fontId="9" numFmtId="0" xfId="0" applyAlignment="1" applyBorder="1" applyFont="1">
      <alignment readingOrder="0"/>
    </xf>
    <xf borderId="5" fillId="0" fontId="3" numFmtId="165" xfId="0" applyAlignment="1" applyBorder="1" applyFont="1" applyNumberFormat="1">
      <alignment horizontal="center" readingOrder="0"/>
    </xf>
    <xf borderId="5" fillId="0" fontId="3" numFmtId="10" xfId="0" applyAlignment="1" applyBorder="1" applyFont="1" applyNumberFormat="1">
      <alignment horizontal="center"/>
    </xf>
    <xf borderId="5" fillId="35" fontId="3" numFmtId="165" xfId="0" applyAlignment="1" applyBorder="1" applyFill="1" applyFont="1" applyNumberFormat="1">
      <alignment horizontal="center" readingOrder="0"/>
    </xf>
    <xf borderId="5" fillId="35" fontId="9" numFmtId="0" xfId="0" applyAlignment="1" applyBorder="1" applyFont="1">
      <alignment readingOrder="0"/>
    </xf>
    <xf borderId="5" fillId="35" fontId="3" numFmtId="0" xfId="0" applyBorder="1" applyFont="1"/>
    <xf borderId="5" fillId="35" fontId="3" numFmtId="0" xfId="0" applyAlignment="1" applyBorder="1" applyFont="1">
      <alignment horizontal="center"/>
    </xf>
    <xf borderId="5" fillId="35" fontId="3" numFmtId="10" xfId="0" applyAlignment="1" applyBorder="1" applyFont="1" applyNumberFormat="1">
      <alignment horizontal="center"/>
    </xf>
    <xf borderId="5" fillId="0" fontId="3" numFmtId="10" xfId="0" applyAlignment="1" applyBorder="1" applyFont="1" applyNumberFormat="1">
      <alignment horizontal="center"/>
    </xf>
    <xf borderId="5" fillId="35" fontId="3" numFmtId="4" xfId="0" applyAlignment="1" applyBorder="1" applyFont="1" applyNumberFormat="1">
      <alignment horizontal="center" readingOrder="0"/>
    </xf>
    <xf borderId="5" fillId="6" fontId="3" numFmtId="0" xfId="0" applyAlignment="1" applyBorder="1" applyFont="1">
      <alignment readingOrder="0"/>
    </xf>
    <xf borderId="5" fillId="6" fontId="3" numFmtId="0" xfId="0" applyBorder="1" applyFont="1"/>
    <xf borderId="11" fillId="0" fontId="3" numFmtId="0" xfId="0" applyBorder="1" applyFont="1"/>
    <xf borderId="12" fillId="0" fontId="3" numFmtId="0" xfId="0" applyAlignment="1" applyBorder="1" applyFont="1">
      <alignment readingOrder="0"/>
    </xf>
    <xf borderId="12" fillId="0" fontId="9" numFmtId="175" xfId="0" applyAlignment="1" applyBorder="1" applyFont="1" applyNumberFormat="1">
      <alignment horizontal="center" readingOrder="0"/>
    </xf>
    <xf borderId="12" fillId="0" fontId="3" numFmtId="0" xfId="0" applyAlignment="1" applyBorder="1" applyFont="1">
      <alignment horizontal="center" readingOrder="0"/>
    </xf>
    <xf borderId="13" fillId="0" fontId="3" numFmtId="0" xfId="0" applyAlignment="1" applyBorder="1" applyFont="1">
      <alignment readingOrder="0"/>
    </xf>
    <xf borderId="14" fillId="0" fontId="3" numFmtId="0" xfId="0" applyAlignment="1" applyBorder="1" applyFont="1">
      <alignment readingOrder="0"/>
    </xf>
    <xf borderId="0" fillId="0" fontId="3" numFmtId="165" xfId="0" applyAlignment="1" applyFont="1" applyNumberFormat="1">
      <alignment horizontal="center" readingOrder="0"/>
    </xf>
    <xf borderId="0" fillId="0" fontId="3" numFmtId="10" xfId="0" applyAlignment="1" applyFont="1" applyNumberFormat="1">
      <alignment horizontal="center"/>
    </xf>
    <xf borderId="10" fillId="0" fontId="3" numFmtId="171" xfId="0" applyBorder="1" applyFont="1" applyNumberFormat="1"/>
    <xf borderId="0" fillId="20" fontId="3" numFmtId="10" xfId="0" applyFont="1" applyNumberFormat="1"/>
    <xf borderId="14" fillId="0" fontId="3" numFmtId="0" xfId="0" applyBorder="1" applyFont="1"/>
    <xf borderId="10" fillId="0" fontId="3" numFmtId="0" xfId="0" applyBorder="1" applyFont="1"/>
    <xf borderId="0" fillId="0" fontId="3" numFmtId="4" xfId="0" applyAlignment="1" applyFont="1" applyNumberFormat="1">
      <alignment horizontal="center" readingOrder="0"/>
    </xf>
    <xf borderId="15" fillId="0" fontId="3" numFmtId="0" xfId="0" applyAlignment="1" applyBorder="1" applyFont="1">
      <alignment readingOrder="0"/>
    </xf>
    <xf borderId="1" fillId="0" fontId="3" numFmtId="0" xfId="0" applyBorder="1" applyFont="1"/>
    <xf borderId="1" fillId="0" fontId="3" numFmtId="4" xfId="0" applyAlignment="1" applyBorder="1" applyFont="1" applyNumberFormat="1">
      <alignment horizontal="center" readingOrder="0"/>
    </xf>
    <xf borderId="3" fillId="0" fontId="3" numFmtId="0" xfId="0" applyBorder="1" applyFont="1"/>
    <xf borderId="0" fillId="0" fontId="3" numFmtId="170" xfId="0" applyAlignment="1" applyFont="1" applyNumberFormat="1">
      <alignment readingOrder="0"/>
    </xf>
    <xf borderId="0" fillId="0" fontId="3" numFmtId="176" xfId="0" applyFont="1" applyNumberFormat="1"/>
    <xf borderId="2" fillId="0" fontId="25" numFmtId="0" xfId="0" applyAlignment="1" applyBorder="1" applyFont="1">
      <alignment horizontal="right" vertical="bottom"/>
    </xf>
    <xf borderId="3" fillId="20" fontId="26" numFmtId="0" xfId="0" applyAlignment="1" applyBorder="1" applyFont="1">
      <alignment horizontal="right" vertical="bottom"/>
    </xf>
    <xf borderId="3" fillId="16" fontId="26" numFmtId="0" xfId="0" applyAlignment="1" applyBorder="1" applyFont="1">
      <alignment horizontal="right" vertical="bottom"/>
    </xf>
    <xf borderId="3" fillId="28" fontId="26" numFmtId="0" xfId="0" applyAlignment="1" applyBorder="1" applyFont="1">
      <alignment horizontal="right" vertical="bottom"/>
    </xf>
    <xf borderId="5" fillId="20" fontId="3" numFmtId="0" xfId="0" applyAlignment="1" applyBorder="1" applyFont="1">
      <alignment horizontal="center" readingOrder="0"/>
    </xf>
    <xf borderId="5" fillId="20" fontId="3" numFmtId="10" xfId="0" applyAlignment="1" applyBorder="1" applyFont="1" applyNumberFormat="1">
      <alignment horizontal="center" readingOrder="0"/>
    </xf>
    <xf borderId="5" fillId="16" fontId="3" numFmtId="0" xfId="0" applyAlignment="1" applyBorder="1" applyFont="1">
      <alignment horizontal="center"/>
    </xf>
    <xf borderId="0" fillId="0" fontId="3" numFmtId="165" xfId="0" applyFont="1" applyNumberFormat="1"/>
    <xf borderId="0" fillId="30" fontId="17" numFmtId="0" xfId="0" applyAlignment="1" applyFont="1">
      <alignment horizontal="center" readingOrder="0" shrinkToFit="0" wrapText="0"/>
    </xf>
    <xf borderId="5" fillId="28" fontId="3" numFmtId="165" xfId="0" applyAlignment="1" applyBorder="1" applyFont="1" applyNumberFormat="1">
      <alignment horizontal="center"/>
    </xf>
    <xf borderId="5" fillId="20" fontId="18" numFmtId="0" xfId="0" applyAlignment="1" applyBorder="1" applyFont="1">
      <alignment horizontal="center" readingOrder="0"/>
    </xf>
    <xf borderId="5" fillId="28" fontId="18" numFmtId="0" xfId="0" applyAlignment="1" applyBorder="1" applyFont="1">
      <alignment horizontal="center" readingOrder="0"/>
    </xf>
    <xf borderId="5" fillId="28" fontId="3" numFmtId="4" xfId="0" applyAlignment="1" applyBorder="1" applyFont="1" applyNumberFormat="1">
      <alignment horizontal="center"/>
    </xf>
    <xf borderId="5" fillId="20" fontId="3" numFmtId="4" xfId="0" applyAlignment="1" applyBorder="1" applyFont="1" applyNumberFormat="1">
      <alignment horizontal="center"/>
    </xf>
    <xf borderId="0" fillId="0" fontId="9" numFmtId="165" xfId="0" applyFont="1" applyNumberFormat="1"/>
    <xf borderId="0" fillId="16" fontId="3" numFmtId="4" xfId="0" applyFont="1" applyNumberFormat="1"/>
    <xf borderId="0" fillId="21" fontId="27" numFmtId="0" xfId="0" applyAlignment="1" applyFont="1">
      <alignment readingOrder="0"/>
    </xf>
  </cellXfs>
  <cellStyles count="1">
    <cellStyle xfId="0" name="Normal" builtinId="0"/>
  </cellStyles>
  <dxfs count="8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  <dxf>
      <font>
        <b/>
      </font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D9EAD3"/>
          <bgColor rgb="FFD9EAD3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5B95F9"/>
          <bgColor rgb="FF5B95F9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2">
    <tableStyle count="3" pivot="0" name="DOW TRACKER-style">
      <tableStyleElement dxfId="5" type="headerRow"/>
      <tableStyleElement dxfId="6" type="firstRowStripe"/>
      <tableStyleElement dxfId="7" type="secondRowStripe"/>
    </tableStyle>
    <tableStyle count="2" pivot="0" name="DOW TRACKER-style 2">
      <tableStyleElement dxfId="6" type="firstRowStripe"/>
      <tableStyleElement dxfId="7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L6" displayName="Table_1" id="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DOW TRACKER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8:L9" displayName="Table_2" id="2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DOW TRACKER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zacks.com/" TargetMode="External"/><Relationship Id="rId2" Type="http://schemas.openxmlformats.org/officeDocument/2006/relationships/hyperlink" Target="http://macrotrends.net/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zacks.com/" TargetMode="External"/><Relationship Id="rId2" Type="http://schemas.openxmlformats.org/officeDocument/2006/relationships/hyperlink" Target="http://macrotrends.net/" TargetMode="Externa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3.75"/>
  </cols>
  <sheetData>
    <row r="1">
      <c r="A1" s="1"/>
      <c r="B1" s="1"/>
      <c r="C1" s="1"/>
      <c r="D1" s="2">
        <v>45310.0</v>
      </c>
      <c r="E1" s="1"/>
      <c r="F1" s="1"/>
      <c r="G1" s="1" t="s">
        <v>0</v>
      </c>
      <c r="H1" s="1"/>
      <c r="I1" s="1"/>
      <c r="J1" s="1" t="s">
        <v>1</v>
      </c>
      <c r="K1" s="1"/>
      <c r="L1" s="3" t="s">
        <v>2</v>
      </c>
      <c r="M1" s="1"/>
      <c r="N1" s="1"/>
      <c r="O1" s="3" t="s">
        <v>3</v>
      </c>
      <c r="P1" s="1"/>
    </row>
    <row r="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10</v>
      </c>
      <c r="M2" s="4" t="s">
        <v>11</v>
      </c>
      <c r="N2" s="4" t="s">
        <v>12</v>
      </c>
      <c r="O2" s="4" t="s">
        <v>10</v>
      </c>
      <c r="P2" s="4" t="s">
        <v>11</v>
      </c>
    </row>
    <row r="3">
      <c r="A3" s="5" t="s">
        <v>15</v>
      </c>
      <c r="B3" s="6" t="s">
        <v>16</v>
      </c>
      <c r="C3" s="7">
        <v>164.83</v>
      </c>
      <c r="D3" s="7">
        <v>160.0</v>
      </c>
      <c r="E3" s="8">
        <v>21.65</v>
      </c>
      <c r="F3" s="9">
        <f t="shared" ref="F3:F8" si="3">D3+E3</f>
        <v>181.65</v>
      </c>
      <c r="G3" s="9">
        <f t="shared" ref="G3:G7" si="4">C3*(1.05)-F3</f>
        <v>-8.5785</v>
      </c>
      <c r="H3" s="9">
        <f t="shared" ref="H3:H19" si="5">(C3*1.1)-F3</f>
        <v>-0.337</v>
      </c>
      <c r="I3" s="9">
        <f t="shared" ref="I3:I25" si="6">(C3*1.2)-F3</f>
        <v>16.146</v>
      </c>
      <c r="J3" s="10" t="s">
        <v>17</v>
      </c>
      <c r="K3" s="10" t="s">
        <v>17</v>
      </c>
      <c r="L3" s="11" t="str">
        <f t="shared" ref="L3:N3" si="1">G3*(7*K3)</f>
        <v>#VALUE!</v>
      </c>
      <c r="M3" s="11" t="str">
        <f t="shared" si="1"/>
        <v>#VALUE!</v>
      </c>
      <c r="N3" s="11" t="str">
        <f t="shared" si="1"/>
        <v>#VALUE!</v>
      </c>
      <c r="O3" s="12"/>
      <c r="P3" s="13"/>
    </row>
    <row r="4">
      <c r="A4" s="14"/>
      <c r="B4" s="12" t="str">
        <f t="shared" ref="B4:C4" si="2">B3</f>
        <v>AAPL</v>
      </c>
      <c r="C4" s="7">
        <f t="shared" si="2"/>
        <v>164.83</v>
      </c>
      <c r="D4" s="15">
        <v>165.0</v>
      </c>
      <c r="E4" s="8">
        <v>18.92</v>
      </c>
      <c r="F4" s="9">
        <f t="shared" si="3"/>
        <v>183.92</v>
      </c>
      <c r="G4" s="9">
        <f t="shared" si="4"/>
        <v>-10.8485</v>
      </c>
      <c r="H4" s="9">
        <f t="shared" si="5"/>
        <v>-2.607</v>
      </c>
      <c r="I4" s="9">
        <f t="shared" si="6"/>
        <v>13.876</v>
      </c>
      <c r="J4" s="15" t="s">
        <v>17</v>
      </c>
      <c r="K4" s="10" t="s">
        <v>17</v>
      </c>
      <c r="L4" s="11" t="str">
        <f t="shared" ref="L4:N4" si="7">G4*(7*K4)</f>
        <v>#VALUE!</v>
      </c>
      <c r="M4" s="11" t="str">
        <f t="shared" si="7"/>
        <v>#VALUE!</v>
      </c>
      <c r="N4" s="11" t="str">
        <f t="shared" si="7"/>
        <v>#VALUE!</v>
      </c>
      <c r="O4" s="12"/>
      <c r="P4" s="13"/>
    </row>
    <row r="5">
      <c r="A5" s="14"/>
      <c r="B5" s="12" t="str">
        <f t="shared" ref="B5:C5" si="8">B4</f>
        <v>AAPL</v>
      </c>
      <c r="C5" s="7">
        <f t="shared" si="8"/>
        <v>164.83</v>
      </c>
      <c r="D5" s="15">
        <v>170.0</v>
      </c>
      <c r="E5" s="8">
        <v>15.8</v>
      </c>
      <c r="F5" s="9">
        <f t="shared" si="3"/>
        <v>185.8</v>
      </c>
      <c r="G5" s="9">
        <f t="shared" si="4"/>
        <v>-12.7285</v>
      </c>
      <c r="H5" s="9">
        <f t="shared" si="5"/>
        <v>-4.487</v>
      </c>
      <c r="I5" s="9">
        <f t="shared" si="6"/>
        <v>11.996</v>
      </c>
      <c r="J5" s="15" t="s">
        <v>17</v>
      </c>
      <c r="K5" s="15" t="s">
        <v>17</v>
      </c>
      <c r="L5" s="11" t="str">
        <f t="shared" ref="L5:N5" si="9">G5*(7*K5)</f>
        <v>#VALUE!</v>
      </c>
      <c r="M5" s="11" t="str">
        <f t="shared" si="9"/>
        <v>#VALUE!</v>
      </c>
      <c r="N5" s="11" t="str">
        <f t="shared" si="9"/>
        <v>#VALUE!</v>
      </c>
      <c r="O5" s="12"/>
      <c r="P5" s="13"/>
    </row>
    <row r="6">
      <c r="A6" s="16" t="s">
        <v>18</v>
      </c>
      <c r="B6" s="16" t="s">
        <v>19</v>
      </c>
      <c r="C6" s="16">
        <v>42.28</v>
      </c>
      <c r="D6" s="16">
        <v>35.0</v>
      </c>
      <c r="E6" s="17">
        <v>7.5</v>
      </c>
      <c r="F6" s="18">
        <f t="shared" si="3"/>
        <v>42.5</v>
      </c>
      <c r="G6" s="18">
        <f t="shared" si="4"/>
        <v>1.894</v>
      </c>
      <c r="H6" s="18">
        <f t="shared" si="5"/>
        <v>4.008</v>
      </c>
      <c r="I6" s="18">
        <f t="shared" si="6"/>
        <v>8.236</v>
      </c>
      <c r="J6" s="19"/>
      <c r="K6" s="19"/>
      <c r="L6" s="19"/>
      <c r="M6" s="19"/>
      <c r="N6" s="19"/>
      <c r="O6" s="19"/>
      <c r="P6" s="19"/>
    </row>
    <row r="7">
      <c r="A7" s="16"/>
      <c r="B7" s="16" t="s">
        <v>19</v>
      </c>
      <c r="C7" s="16">
        <v>42.28</v>
      </c>
      <c r="D7" s="16">
        <v>40.0</v>
      </c>
      <c r="E7" s="17">
        <v>6.2</v>
      </c>
      <c r="F7" s="18">
        <f t="shared" si="3"/>
        <v>46.2</v>
      </c>
      <c r="G7" s="18">
        <f t="shared" si="4"/>
        <v>-1.806</v>
      </c>
      <c r="H7" s="18">
        <f t="shared" si="5"/>
        <v>0.308</v>
      </c>
      <c r="I7" s="18">
        <f t="shared" si="6"/>
        <v>4.536</v>
      </c>
      <c r="J7" s="19"/>
      <c r="K7" s="19"/>
      <c r="L7" s="19"/>
      <c r="M7" s="19"/>
      <c r="N7" s="19"/>
      <c r="O7" s="19"/>
      <c r="P7" s="19"/>
    </row>
    <row r="8">
      <c r="A8" s="19"/>
      <c r="B8" s="16" t="s">
        <v>19</v>
      </c>
      <c r="C8" s="16">
        <v>42.28</v>
      </c>
      <c r="D8" s="16">
        <v>45.0</v>
      </c>
      <c r="E8" s="17">
        <v>4.1</v>
      </c>
      <c r="F8" s="18">
        <f t="shared" si="3"/>
        <v>49.1</v>
      </c>
      <c r="G8" s="17">
        <v>-4.1</v>
      </c>
      <c r="H8" s="18">
        <f t="shared" si="5"/>
        <v>-2.592</v>
      </c>
      <c r="I8" s="18">
        <f t="shared" si="6"/>
        <v>1.636</v>
      </c>
      <c r="J8" s="19"/>
      <c r="K8" s="19"/>
      <c r="L8" s="19"/>
      <c r="M8" s="19"/>
      <c r="N8" s="19"/>
      <c r="O8" s="19"/>
      <c r="P8" s="19"/>
    </row>
    <row r="9" ht="13.5" customHeight="1">
      <c r="A9" s="20" t="s">
        <v>20</v>
      </c>
      <c r="B9" s="20" t="s">
        <v>21</v>
      </c>
      <c r="C9" s="20">
        <v>138.3</v>
      </c>
      <c r="D9" s="20">
        <v>130.0</v>
      </c>
      <c r="E9" s="20">
        <v>18.07</v>
      </c>
      <c r="F9" s="20">
        <v>148.07</v>
      </c>
      <c r="G9" s="21">
        <f t="shared" ref="G9:G19" si="10">C9*(1.05)-F9</f>
        <v>-2.855</v>
      </c>
      <c r="H9" s="21">
        <f t="shared" si="5"/>
        <v>4.06</v>
      </c>
      <c r="I9" s="21">
        <f t="shared" si="6"/>
        <v>17.89</v>
      </c>
      <c r="J9" s="22"/>
      <c r="K9" s="22"/>
      <c r="L9" s="22"/>
      <c r="M9" s="22"/>
      <c r="N9" s="22"/>
      <c r="O9" s="22"/>
      <c r="P9" s="22"/>
    </row>
    <row r="10">
      <c r="A10" s="20" t="s">
        <v>20</v>
      </c>
      <c r="B10" s="20" t="s">
        <v>21</v>
      </c>
      <c r="C10" s="20">
        <v>138.3</v>
      </c>
      <c r="D10" s="20">
        <v>140.0</v>
      </c>
      <c r="E10" s="20">
        <v>11.85</v>
      </c>
      <c r="F10" s="20">
        <v>151.85</v>
      </c>
      <c r="G10" s="21">
        <f t="shared" si="10"/>
        <v>-6.635</v>
      </c>
      <c r="H10" s="21">
        <f t="shared" si="5"/>
        <v>0.28</v>
      </c>
      <c r="I10" s="21">
        <f t="shared" si="6"/>
        <v>14.11</v>
      </c>
      <c r="J10" s="22"/>
      <c r="K10" s="22"/>
      <c r="L10" s="22"/>
      <c r="M10" s="22"/>
      <c r="N10" s="22"/>
      <c r="O10" s="22"/>
      <c r="P10" s="22"/>
    </row>
    <row r="11">
      <c r="A11" s="20" t="s">
        <v>20</v>
      </c>
      <c r="B11" s="20" t="s">
        <v>21</v>
      </c>
      <c r="C11" s="20">
        <v>138.3</v>
      </c>
      <c r="D11" s="20">
        <v>155.0</v>
      </c>
      <c r="E11" s="20">
        <v>5.5</v>
      </c>
      <c r="F11" s="20">
        <v>160.5</v>
      </c>
      <c r="G11" s="21">
        <f t="shared" si="10"/>
        <v>-15.285</v>
      </c>
      <c r="H11" s="21">
        <f t="shared" si="5"/>
        <v>-8.37</v>
      </c>
      <c r="I11" s="21">
        <f t="shared" si="6"/>
        <v>5.46</v>
      </c>
      <c r="J11" s="22"/>
      <c r="K11" s="22"/>
      <c r="L11" s="22"/>
      <c r="M11" s="22"/>
      <c r="N11" s="22"/>
      <c r="O11" s="22"/>
      <c r="P11" s="22"/>
    </row>
    <row r="12">
      <c r="A12" s="23" t="s">
        <v>22</v>
      </c>
      <c r="B12" s="23" t="s">
        <v>23</v>
      </c>
      <c r="C12" s="24">
        <v>25.73</v>
      </c>
      <c r="D12" s="24">
        <v>29.5</v>
      </c>
      <c r="E12" s="24">
        <v>1.7</v>
      </c>
      <c r="F12" s="25">
        <f t="shared" ref="F12:F14" si="11">sum(D12:E12)</f>
        <v>31.2</v>
      </c>
      <c r="G12" s="25">
        <f t="shared" si="10"/>
        <v>-4.1835</v>
      </c>
      <c r="H12" s="25">
        <f t="shared" si="5"/>
        <v>-2.897</v>
      </c>
      <c r="I12" s="25">
        <f t="shared" si="6"/>
        <v>-0.324</v>
      </c>
      <c r="J12" s="26"/>
      <c r="K12" s="26"/>
      <c r="L12" s="26"/>
      <c r="M12" s="26"/>
      <c r="N12" s="26"/>
      <c r="O12" s="26"/>
      <c r="P12" s="26"/>
    </row>
    <row r="13">
      <c r="A13" s="26"/>
      <c r="B13" s="23" t="s">
        <v>23</v>
      </c>
      <c r="C13" s="24">
        <v>25.73</v>
      </c>
      <c r="D13" s="24">
        <v>34.5</v>
      </c>
      <c r="E13" s="24">
        <v>0.75</v>
      </c>
      <c r="F13" s="25">
        <f t="shared" si="11"/>
        <v>35.25</v>
      </c>
      <c r="G13" s="25">
        <f t="shared" si="10"/>
        <v>-8.2335</v>
      </c>
      <c r="H13" s="25">
        <f t="shared" si="5"/>
        <v>-6.947</v>
      </c>
      <c r="I13" s="25">
        <f t="shared" si="6"/>
        <v>-4.374</v>
      </c>
      <c r="J13" s="26"/>
      <c r="K13" s="26"/>
      <c r="L13" s="26"/>
      <c r="M13" s="26"/>
      <c r="N13" s="26"/>
      <c r="O13" s="26"/>
      <c r="P13" s="26"/>
    </row>
    <row r="14">
      <c r="A14" s="26"/>
      <c r="B14" s="23" t="s">
        <v>23</v>
      </c>
      <c r="C14" s="24">
        <v>25.73</v>
      </c>
      <c r="D14" s="24">
        <v>22.0</v>
      </c>
      <c r="E14" s="24">
        <v>5.01</v>
      </c>
      <c r="F14" s="25">
        <f t="shared" si="11"/>
        <v>27.01</v>
      </c>
      <c r="G14" s="25">
        <f t="shared" si="10"/>
        <v>0.0065</v>
      </c>
      <c r="H14" s="25">
        <f t="shared" si="5"/>
        <v>1.293</v>
      </c>
      <c r="I14" s="25">
        <f t="shared" si="6"/>
        <v>3.866</v>
      </c>
      <c r="J14" s="26"/>
      <c r="K14" s="26"/>
      <c r="L14" s="26"/>
      <c r="M14" s="26"/>
      <c r="N14" s="26"/>
      <c r="O14" s="26"/>
      <c r="P14" s="26"/>
    </row>
    <row r="15">
      <c r="A15" s="27" t="s">
        <v>24</v>
      </c>
      <c r="B15" s="27" t="s">
        <v>25</v>
      </c>
      <c r="C15" s="28">
        <v>74.67</v>
      </c>
      <c r="D15" s="27">
        <v>77.5</v>
      </c>
      <c r="E15" s="27">
        <v>5.75</v>
      </c>
      <c r="F15" s="29">
        <f t="shared" ref="F15:F32" si="12">D15+E15</f>
        <v>83.25</v>
      </c>
      <c r="G15" s="29">
        <f t="shared" si="10"/>
        <v>-4.8465</v>
      </c>
      <c r="H15" s="29">
        <f t="shared" si="5"/>
        <v>-1.113</v>
      </c>
      <c r="I15" s="29">
        <f t="shared" si="6"/>
        <v>6.354</v>
      </c>
      <c r="J15" s="29"/>
      <c r="K15" s="29"/>
      <c r="L15" s="29"/>
      <c r="M15" s="29"/>
      <c r="N15" s="29"/>
      <c r="O15" s="29"/>
      <c r="P15" s="29"/>
    </row>
    <row r="16">
      <c r="A16" s="29"/>
      <c r="B16" s="27" t="s">
        <v>25</v>
      </c>
      <c r="C16" s="28">
        <f t="shared" ref="C16:C17" si="13">C15</f>
        <v>74.67</v>
      </c>
      <c r="D16" s="27">
        <v>72.5</v>
      </c>
      <c r="E16" s="27">
        <v>8.4</v>
      </c>
      <c r="F16" s="29">
        <f t="shared" si="12"/>
        <v>80.9</v>
      </c>
      <c r="G16" s="29">
        <f t="shared" si="10"/>
        <v>-2.4965</v>
      </c>
      <c r="H16" s="29">
        <f t="shared" si="5"/>
        <v>1.237</v>
      </c>
      <c r="I16" s="29">
        <f t="shared" si="6"/>
        <v>8.704</v>
      </c>
      <c r="J16" s="29"/>
      <c r="K16" s="29"/>
      <c r="L16" s="29"/>
      <c r="M16" s="29"/>
      <c r="N16" s="29"/>
      <c r="O16" s="29"/>
      <c r="P16" s="29"/>
    </row>
    <row r="17">
      <c r="A17" s="29"/>
      <c r="B17" s="27" t="s">
        <v>25</v>
      </c>
      <c r="C17" s="28">
        <f t="shared" si="13"/>
        <v>74.67</v>
      </c>
      <c r="D17" s="27">
        <v>75.0</v>
      </c>
      <c r="E17" s="27">
        <v>6.95</v>
      </c>
      <c r="F17" s="29">
        <f t="shared" si="12"/>
        <v>81.95</v>
      </c>
      <c r="G17" s="29">
        <f t="shared" si="10"/>
        <v>-3.5465</v>
      </c>
      <c r="H17" s="29">
        <f t="shared" si="5"/>
        <v>0.187</v>
      </c>
      <c r="I17" s="29">
        <f t="shared" si="6"/>
        <v>7.654</v>
      </c>
      <c r="J17" s="29"/>
      <c r="K17" s="29"/>
      <c r="L17" s="29"/>
      <c r="M17" s="29"/>
      <c r="N17" s="29"/>
      <c r="O17" s="29"/>
      <c r="P17" s="29"/>
    </row>
    <row r="18">
      <c r="A18" s="30" t="s">
        <v>26</v>
      </c>
      <c r="B18" s="30" t="s">
        <v>27</v>
      </c>
      <c r="C18" s="30">
        <v>58.88</v>
      </c>
      <c r="D18" s="30">
        <v>55.0</v>
      </c>
      <c r="E18" s="30">
        <v>3.91</v>
      </c>
      <c r="F18" s="31">
        <f t="shared" si="12"/>
        <v>58.91</v>
      </c>
      <c r="G18" s="32">
        <f t="shared" si="10"/>
        <v>2.914</v>
      </c>
      <c r="H18" s="32">
        <f t="shared" si="5"/>
        <v>5.858</v>
      </c>
      <c r="I18" s="32">
        <f t="shared" si="6"/>
        <v>11.746</v>
      </c>
      <c r="J18" s="31"/>
      <c r="K18" s="31"/>
      <c r="L18" s="31"/>
      <c r="M18" s="31"/>
      <c r="N18" s="31"/>
      <c r="O18" s="31"/>
      <c r="P18" s="31"/>
    </row>
    <row r="19">
      <c r="A19" s="31"/>
      <c r="B19" s="30" t="s">
        <v>27</v>
      </c>
      <c r="C19" s="30">
        <v>58.88</v>
      </c>
      <c r="D19" s="30">
        <v>60.0</v>
      </c>
      <c r="E19" s="30">
        <v>0.59</v>
      </c>
      <c r="F19" s="31">
        <f t="shared" si="12"/>
        <v>60.59</v>
      </c>
      <c r="G19" s="32">
        <f t="shared" si="10"/>
        <v>1.234</v>
      </c>
      <c r="H19" s="32">
        <f t="shared" si="5"/>
        <v>4.178</v>
      </c>
      <c r="I19" s="32">
        <f t="shared" si="6"/>
        <v>10.066</v>
      </c>
      <c r="J19" s="31"/>
      <c r="K19" s="31"/>
      <c r="L19" s="31"/>
      <c r="M19" s="31"/>
      <c r="N19" s="31"/>
      <c r="O19" s="31"/>
      <c r="P19" s="31"/>
    </row>
    <row r="20">
      <c r="A20" s="31"/>
      <c r="B20" s="30" t="s">
        <v>27</v>
      </c>
      <c r="C20" s="30">
        <v>58.88</v>
      </c>
      <c r="D20" s="30">
        <v>65.0</v>
      </c>
      <c r="E20" s="30">
        <v>0.05</v>
      </c>
      <c r="F20" s="31">
        <f t="shared" si="12"/>
        <v>65.05</v>
      </c>
      <c r="G20" s="32">
        <f t="shared" ref="G20:H20" si="14">-0.05</f>
        <v>-0.05</v>
      </c>
      <c r="H20" s="32">
        <f t="shared" si="14"/>
        <v>-0.05</v>
      </c>
      <c r="I20" s="32">
        <f t="shared" si="6"/>
        <v>5.606</v>
      </c>
      <c r="J20" s="31"/>
      <c r="K20" s="31"/>
      <c r="L20" s="31"/>
      <c r="M20" s="31"/>
      <c r="N20" s="31"/>
      <c r="O20" s="31"/>
      <c r="P20" s="31"/>
    </row>
    <row r="21">
      <c r="A21" s="33" t="s">
        <v>28</v>
      </c>
      <c r="B21" s="33" t="s">
        <v>29</v>
      </c>
      <c r="C21" s="33">
        <v>40.03</v>
      </c>
      <c r="D21" s="33">
        <v>35.0</v>
      </c>
      <c r="E21" s="34">
        <v>7.2</v>
      </c>
      <c r="F21" s="35">
        <f t="shared" si="12"/>
        <v>42.2</v>
      </c>
      <c r="G21" s="35">
        <f t="shared" ref="G21:G24" si="15">C21*(1.05)-F21</f>
        <v>-0.1685</v>
      </c>
      <c r="H21" s="35">
        <f t="shared" ref="H21:H25" si="16">(C21*1.1)-F21</f>
        <v>1.833</v>
      </c>
      <c r="I21" s="35">
        <f t="shared" si="6"/>
        <v>5.836</v>
      </c>
      <c r="J21" s="36"/>
      <c r="K21" s="36"/>
      <c r="L21" s="36"/>
    </row>
    <row r="22">
      <c r="A22" s="36"/>
      <c r="B22" s="33" t="s">
        <v>29</v>
      </c>
      <c r="C22" s="33">
        <v>40.03</v>
      </c>
      <c r="D22" s="33">
        <v>45.0</v>
      </c>
      <c r="E22" s="33">
        <v>2.95</v>
      </c>
      <c r="F22" s="36">
        <f t="shared" si="12"/>
        <v>47.95</v>
      </c>
      <c r="G22" s="36">
        <f t="shared" si="15"/>
        <v>-5.9185</v>
      </c>
      <c r="H22" s="36">
        <f t="shared" si="16"/>
        <v>-3.917</v>
      </c>
      <c r="I22" s="36">
        <f t="shared" si="6"/>
        <v>0.086</v>
      </c>
      <c r="J22" s="36"/>
      <c r="K22" s="36"/>
      <c r="L22" s="36"/>
    </row>
    <row r="23">
      <c r="A23" s="36"/>
      <c r="B23" s="33" t="s">
        <v>29</v>
      </c>
      <c r="C23" s="33">
        <v>40.03</v>
      </c>
      <c r="D23" s="33">
        <v>50.0</v>
      </c>
      <c r="E23" s="33">
        <v>0.75</v>
      </c>
      <c r="F23" s="36">
        <f t="shared" si="12"/>
        <v>50.75</v>
      </c>
      <c r="G23" s="36">
        <f t="shared" si="15"/>
        <v>-8.7185</v>
      </c>
      <c r="H23" s="36">
        <f t="shared" si="16"/>
        <v>-6.717</v>
      </c>
      <c r="I23" s="36">
        <f t="shared" si="6"/>
        <v>-2.714</v>
      </c>
      <c r="J23" s="36"/>
      <c r="K23" s="36"/>
      <c r="L23" s="36"/>
    </row>
    <row r="24">
      <c r="A24" s="37" t="s">
        <v>30</v>
      </c>
      <c r="B24" s="38" t="s">
        <v>31</v>
      </c>
      <c r="C24" s="38">
        <v>11.08</v>
      </c>
      <c r="D24" s="38">
        <v>3.0</v>
      </c>
      <c r="E24" s="38">
        <v>9.2</v>
      </c>
      <c r="F24" s="39">
        <f t="shared" si="12"/>
        <v>12.2</v>
      </c>
      <c r="G24" s="39">
        <f t="shared" si="15"/>
        <v>-0.566</v>
      </c>
      <c r="H24" s="39">
        <f t="shared" si="16"/>
        <v>-0.012</v>
      </c>
      <c r="I24" s="39">
        <f t="shared" si="6"/>
        <v>1.096</v>
      </c>
      <c r="J24" s="39"/>
      <c r="K24" s="39"/>
      <c r="L24" s="39"/>
      <c r="M24" s="39"/>
      <c r="N24" s="39"/>
      <c r="O24" s="39"/>
      <c r="P24" s="39"/>
    </row>
    <row r="25">
      <c r="A25" s="40"/>
      <c r="B25" s="38" t="s">
        <v>31</v>
      </c>
      <c r="C25" s="38">
        <v>11.08</v>
      </c>
      <c r="D25" s="38">
        <v>12.0</v>
      </c>
      <c r="E25" s="38">
        <v>1.85</v>
      </c>
      <c r="F25" s="39">
        <f t="shared" si="12"/>
        <v>13.85</v>
      </c>
      <c r="G25" s="38">
        <v>-1.85</v>
      </c>
      <c r="H25" s="39">
        <f t="shared" si="16"/>
        <v>-1.662</v>
      </c>
      <c r="I25" s="39">
        <f t="shared" si="6"/>
        <v>-0.554</v>
      </c>
      <c r="J25" s="39"/>
      <c r="K25" s="39"/>
      <c r="L25" s="39"/>
      <c r="M25" s="39"/>
      <c r="N25" s="39"/>
      <c r="O25" s="39"/>
      <c r="P25" s="39"/>
    </row>
    <row r="26">
      <c r="A26" s="41"/>
      <c r="B26" s="38" t="s">
        <v>31</v>
      </c>
      <c r="C26" s="38">
        <v>11.08</v>
      </c>
      <c r="D26" s="38">
        <v>35.0</v>
      </c>
      <c r="E26" s="38">
        <v>0.7</v>
      </c>
      <c r="F26" s="39">
        <f t="shared" si="12"/>
        <v>35.7</v>
      </c>
      <c r="G26" s="38">
        <v>-0.7</v>
      </c>
      <c r="H26" s="38">
        <v>-0.7</v>
      </c>
      <c r="I26" s="38">
        <v>-0.7</v>
      </c>
      <c r="J26" s="39"/>
      <c r="K26" s="39"/>
      <c r="L26" s="39"/>
      <c r="M26" s="39"/>
      <c r="N26" s="39"/>
      <c r="O26" s="39"/>
      <c r="P26" s="39"/>
    </row>
    <row r="27">
      <c r="A27" s="42" t="s">
        <v>32</v>
      </c>
      <c r="B27" s="42" t="s">
        <v>33</v>
      </c>
      <c r="C27" s="42">
        <v>7.89</v>
      </c>
      <c r="D27" s="43">
        <v>5.0</v>
      </c>
      <c r="E27" s="42">
        <v>4.65</v>
      </c>
      <c r="F27" s="44">
        <f t="shared" si="12"/>
        <v>9.65</v>
      </c>
      <c r="G27" s="45">
        <f t="shared" ref="G27:G29" si="17">C27*(1.05)-F27</f>
        <v>-1.3655</v>
      </c>
      <c r="H27" s="45">
        <f t="shared" ref="H27:H30" si="18">(C27*1.1)-F27</f>
        <v>-0.971</v>
      </c>
      <c r="I27" s="45">
        <f t="shared" ref="I27:I30" si="19">(C27*1.2)-F27</f>
        <v>-0.182</v>
      </c>
      <c r="J27" s="46"/>
      <c r="K27" s="46"/>
      <c r="L27" s="46"/>
      <c r="M27" s="46"/>
      <c r="N27" s="46"/>
      <c r="O27" s="46"/>
      <c r="P27" s="47"/>
    </row>
    <row r="28">
      <c r="A28" s="46"/>
      <c r="B28" s="42" t="s">
        <v>33</v>
      </c>
      <c r="C28" s="42">
        <v>7.89</v>
      </c>
      <c r="D28" s="43">
        <v>10.0</v>
      </c>
      <c r="E28" s="42">
        <v>2.67</v>
      </c>
      <c r="F28" s="44">
        <f t="shared" si="12"/>
        <v>12.67</v>
      </c>
      <c r="G28" s="45">
        <f t="shared" si="17"/>
        <v>-4.3855</v>
      </c>
      <c r="H28" s="45">
        <f t="shared" si="18"/>
        <v>-3.991</v>
      </c>
      <c r="I28" s="45">
        <f t="shared" si="19"/>
        <v>-3.202</v>
      </c>
      <c r="J28" s="46"/>
      <c r="K28" s="46"/>
      <c r="L28" s="46"/>
      <c r="M28" s="46"/>
      <c r="N28" s="46"/>
      <c r="O28" s="46"/>
      <c r="P28" s="47"/>
    </row>
    <row r="29">
      <c r="A29" s="46"/>
      <c r="B29" s="42" t="s">
        <v>33</v>
      </c>
      <c r="C29" s="42">
        <v>7.89</v>
      </c>
      <c r="D29" s="43">
        <v>12.5</v>
      </c>
      <c r="E29" s="42">
        <v>2.02</v>
      </c>
      <c r="F29" s="44">
        <f t="shared" si="12"/>
        <v>14.52</v>
      </c>
      <c r="G29" s="45">
        <f t="shared" si="17"/>
        <v>-6.2355</v>
      </c>
      <c r="H29" s="45">
        <f t="shared" si="18"/>
        <v>-5.841</v>
      </c>
      <c r="I29" s="45">
        <f t="shared" si="19"/>
        <v>-5.052</v>
      </c>
      <c r="J29" s="46"/>
      <c r="K29" s="46"/>
      <c r="L29" s="46"/>
      <c r="M29" s="46"/>
      <c r="N29" s="46"/>
      <c r="O29" s="46"/>
      <c r="P29" s="47"/>
    </row>
    <row r="30">
      <c r="A30" s="48" t="s">
        <v>34</v>
      </c>
      <c r="B30" s="48" t="s">
        <v>35</v>
      </c>
      <c r="C30" s="48">
        <v>2.44</v>
      </c>
      <c r="D30" s="49">
        <v>2.0</v>
      </c>
      <c r="E30" s="49">
        <v>1.06</v>
      </c>
      <c r="F30" s="50">
        <f t="shared" si="12"/>
        <v>3.06</v>
      </c>
      <c r="G30" s="50">
        <f>(C30*1.05)-F30</f>
        <v>-0.498</v>
      </c>
      <c r="H30" s="50">
        <f t="shared" si="18"/>
        <v>-0.376</v>
      </c>
      <c r="I30" s="51">
        <f t="shared" si="19"/>
        <v>-0.132</v>
      </c>
      <c r="J30" s="52"/>
      <c r="K30" s="52"/>
      <c r="L30" s="52"/>
      <c r="M30" s="52"/>
      <c r="N30" s="52"/>
      <c r="O30" s="52"/>
      <c r="P30" s="52"/>
    </row>
    <row r="31">
      <c r="A31" s="48" t="s">
        <v>34</v>
      </c>
      <c r="B31" s="48" t="s">
        <v>35</v>
      </c>
      <c r="C31" s="48">
        <v>2.44</v>
      </c>
      <c r="D31" s="49">
        <v>4.0</v>
      </c>
      <c r="E31" s="49">
        <v>0.6</v>
      </c>
      <c r="F31" s="50">
        <f t="shared" si="12"/>
        <v>4.6</v>
      </c>
      <c r="G31" s="50">
        <f t="shared" ref="G31:G32" si="20">-E31</f>
        <v>-0.6</v>
      </c>
      <c r="H31" s="50">
        <f t="shared" ref="H31:H32" si="21">-E31</f>
        <v>-0.6</v>
      </c>
      <c r="I31" s="51">
        <f t="shared" ref="I31:I32" si="22">(C31*1.1)-F31</f>
        <v>-1.916</v>
      </c>
      <c r="J31" s="52"/>
      <c r="K31" s="52"/>
      <c r="L31" s="52"/>
      <c r="M31" s="52"/>
      <c r="N31" s="52"/>
      <c r="O31" s="52"/>
      <c r="P31" s="52"/>
    </row>
    <row r="32">
      <c r="A32" s="48" t="s">
        <v>34</v>
      </c>
      <c r="B32" s="48" t="s">
        <v>35</v>
      </c>
      <c r="C32" s="48">
        <v>2.44</v>
      </c>
      <c r="D32" s="49">
        <v>10.0</v>
      </c>
      <c r="E32" s="49">
        <v>0.2</v>
      </c>
      <c r="F32" s="50">
        <f t="shared" si="12"/>
        <v>10.2</v>
      </c>
      <c r="G32" s="50">
        <f t="shared" si="20"/>
        <v>-0.2</v>
      </c>
      <c r="H32" s="50">
        <f t="shared" si="21"/>
        <v>-0.2</v>
      </c>
      <c r="I32" s="51">
        <f t="shared" si="22"/>
        <v>-7.516</v>
      </c>
      <c r="J32" s="52"/>
      <c r="K32" s="52"/>
      <c r="L32" s="52"/>
      <c r="M32" s="52"/>
      <c r="N32" s="52"/>
      <c r="O32" s="52"/>
      <c r="P32" s="52"/>
    </row>
    <row r="34">
      <c r="A34" s="53" t="s">
        <v>36</v>
      </c>
      <c r="B34" s="53" t="s">
        <v>37</v>
      </c>
      <c r="C34" s="53">
        <v>9.44</v>
      </c>
      <c r="D34" s="53">
        <v>5.0</v>
      </c>
      <c r="E34" s="53">
        <v>4.4</v>
      </c>
      <c r="F34" s="54">
        <f t="shared" ref="F34:F36" si="23">D34+E34</f>
        <v>9.4</v>
      </c>
      <c r="G34" s="54">
        <f t="shared" ref="G34:G36" si="24">(C34*1.05)-F34</f>
        <v>0.512</v>
      </c>
      <c r="H34" s="54">
        <f t="shared" ref="H34:H42" si="25">(C34*1.1)-F34</f>
        <v>0.984</v>
      </c>
      <c r="I34" s="54">
        <f t="shared" ref="I34:I42" si="26">(C34*1.2)-F34</f>
        <v>1.928</v>
      </c>
      <c r="J34" s="54"/>
      <c r="K34" s="54"/>
      <c r="L34" s="54"/>
      <c r="M34" s="54"/>
      <c r="N34" s="54"/>
      <c r="O34" s="54"/>
      <c r="P34" s="54"/>
    </row>
    <row r="35">
      <c r="A35" s="54"/>
      <c r="B35" s="53" t="s">
        <v>37</v>
      </c>
      <c r="C35" s="53">
        <v>9.44</v>
      </c>
      <c r="D35" s="53">
        <v>10.0</v>
      </c>
      <c r="E35" s="53">
        <v>1.5</v>
      </c>
      <c r="F35" s="54">
        <f t="shared" si="23"/>
        <v>11.5</v>
      </c>
      <c r="G35" s="54">
        <f t="shared" si="24"/>
        <v>-1.588</v>
      </c>
      <c r="H35" s="54">
        <f t="shared" si="25"/>
        <v>-1.116</v>
      </c>
      <c r="I35" s="54">
        <f t="shared" si="26"/>
        <v>-0.172</v>
      </c>
      <c r="J35" s="54"/>
      <c r="K35" s="54"/>
      <c r="L35" s="54"/>
      <c r="M35" s="54"/>
      <c r="N35" s="54"/>
      <c r="O35" s="54"/>
      <c r="P35" s="54"/>
    </row>
    <row r="36">
      <c r="A36" s="54"/>
      <c r="B36" s="53" t="s">
        <v>37</v>
      </c>
      <c r="C36" s="53">
        <v>9.44</v>
      </c>
      <c r="D36" s="53">
        <v>17.5</v>
      </c>
      <c r="E36" s="53">
        <v>0.25</v>
      </c>
      <c r="F36" s="54">
        <f t="shared" si="23"/>
        <v>17.75</v>
      </c>
      <c r="G36" s="54">
        <f t="shared" si="24"/>
        <v>-7.838</v>
      </c>
      <c r="H36" s="54">
        <f t="shared" si="25"/>
        <v>-7.366</v>
      </c>
      <c r="I36" s="54">
        <f t="shared" si="26"/>
        <v>-6.422</v>
      </c>
      <c r="J36" s="54"/>
      <c r="K36" s="54"/>
      <c r="L36" s="54"/>
      <c r="M36" s="54"/>
      <c r="N36" s="54"/>
      <c r="O36" s="54"/>
      <c r="P36" s="54"/>
    </row>
    <row r="37">
      <c r="A37" s="55" t="s">
        <v>38</v>
      </c>
      <c r="B37" s="55" t="s">
        <v>39</v>
      </c>
      <c r="C37" s="55">
        <v>148.55</v>
      </c>
      <c r="D37" s="55">
        <v>145.0</v>
      </c>
      <c r="E37" s="55">
        <v>14.65</v>
      </c>
      <c r="F37" s="56">
        <f t="shared" ref="F37:F39" si="27">E37+D37</f>
        <v>159.65</v>
      </c>
      <c r="G37" s="56">
        <f t="shared" ref="G37:G43" si="28">C37*(1.05)-F37</f>
        <v>-3.6725</v>
      </c>
      <c r="H37" s="56">
        <f t="shared" si="25"/>
        <v>3.755</v>
      </c>
      <c r="I37" s="56">
        <f t="shared" si="26"/>
        <v>18.61</v>
      </c>
    </row>
    <row r="38">
      <c r="A38" s="56"/>
      <c r="B38" s="55" t="s">
        <v>39</v>
      </c>
      <c r="C38" s="55">
        <v>148.55</v>
      </c>
      <c r="D38" s="55">
        <v>150.0</v>
      </c>
      <c r="E38" s="55">
        <v>11.6</v>
      </c>
      <c r="F38" s="56">
        <f t="shared" si="27"/>
        <v>161.6</v>
      </c>
      <c r="G38" s="56">
        <f t="shared" si="28"/>
        <v>-5.6225</v>
      </c>
      <c r="H38" s="56">
        <f t="shared" si="25"/>
        <v>1.805</v>
      </c>
      <c r="I38" s="56">
        <f t="shared" si="26"/>
        <v>16.66</v>
      </c>
    </row>
    <row r="39">
      <c r="A39" s="56"/>
      <c r="B39" s="55" t="s">
        <v>39</v>
      </c>
      <c r="C39" s="55">
        <v>148.55</v>
      </c>
      <c r="D39" s="55">
        <v>155.0</v>
      </c>
      <c r="E39" s="55">
        <v>9.1</v>
      </c>
      <c r="F39" s="56">
        <f t="shared" si="27"/>
        <v>164.1</v>
      </c>
      <c r="G39" s="56">
        <f t="shared" si="28"/>
        <v>-8.1225</v>
      </c>
      <c r="H39" s="56">
        <f t="shared" si="25"/>
        <v>-0.695</v>
      </c>
      <c r="I39" s="56">
        <f t="shared" si="26"/>
        <v>14.16</v>
      </c>
    </row>
    <row r="40">
      <c r="A40" s="57" t="s">
        <v>40</v>
      </c>
      <c r="B40" s="57" t="s">
        <v>41</v>
      </c>
      <c r="C40" s="57">
        <v>115.6</v>
      </c>
      <c r="D40" s="57">
        <v>110.0</v>
      </c>
      <c r="E40" s="57">
        <v>14.8</v>
      </c>
      <c r="F40" s="58">
        <f t="shared" ref="F40:F54" si="29">D40+E40</f>
        <v>124.8</v>
      </c>
      <c r="G40" s="58">
        <f t="shared" si="28"/>
        <v>-3.42</v>
      </c>
      <c r="H40" s="58">
        <f t="shared" si="25"/>
        <v>2.36</v>
      </c>
      <c r="I40" s="58">
        <f t="shared" si="26"/>
        <v>13.92</v>
      </c>
    </row>
    <row r="41">
      <c r="A41" s="58"/>
      <c r="B41" s="57" t="s">
        <v>41</v>
      </c>
      <c r="C41" s="57">
        <v>115.6</v>
      </c>
      <c r="D41" s="57">
        <v>120.0</v>
      </c>
      <c r="E41" s="57">
        <v>9.7</v>
      </c>
      <c r="F41" s="58">
        <f t="shared" si="29"/>
        <v>129.7</v>
      </c>
      <c r="G41" s="58">
        <f t="shared" si="28"/>
        <v>-8.32</v>
      </c>
      <c r="H41" s="58">
        <f t="shared" si="25"/>
        <v>-2.54</v>
      </c>
      <c r="I41" s="58">
        <f t="shared" si="26"/>
        <v>9.02</v>
      </c>
    </row>
    <row r="42">
      <c r="A42" s="58"/>
      <c r="B42" s="57" t="s">
        <v>41</v>
      </c>
      <c r="C42" s="57">
        <v>115.6</v>
      </c>
      <c r="D42" s="57">
        <v>125.0</v>
      </c>
      <c r="E42" s="57">
        <v>7.61</v>
      </c>
      <c r="F42" s="58">
        <f t="shared" si="29"/>
        <v>132.61</v>
      </c>
      <c r="G42" s="58">
        <f t="shared" si="28"/>
        <v>-11.23</v>
      </c>
      <c r="H42" s="58">
        <f t="shared" si="25"/>
        <v>-5.45</v>
      </c>
      <c r="I42" s="58">
        <f t="shared" si="26"/>
        <v>6.11</v>
      </c>
    </row>
    <row r="43">
      <c r="A43" s="59" t="s">
        <v>42</v>
      </c>
      <c r="B43" s="59" t="s">
        <v>43</v>
      </c>
      <c r="C43" s="59">
        <v>60.67</v>
      </c>
      <c r="D43" s="59">
        <v>55.0</v>
      </c>
      <c r="E43" s="59">
        <v>7.7</v>
      </c>
      <c r="F43" s="60">
        <f t="shared" si="29"/>
        <v>62.7</v>
      </c>
      <c r="G43" s="61">
        <f t="shared" si="28"/>
        <v>1.0035</v>
      </c>
      <c r="H43" s="61">
        <f t="shared" ref="H43:H44" si="30">C43*(1.1)-F43</f>
        <v>4.037</v>
      </c>
      <c r="I43" s="61">
        <f t="shared" ref="I43:I48" si="31">C43*(1.2)-F43</f>
        <v>10.104</v>
      </c>
      <c r="J43" s="60"/>
      <c r="K43" s="60"/>
      <c r="L43" s="60"/>
      <c r="M43" s="60"/>
      <c r="N43" s="60"/>
      <c r="O43" s="60"/>
      <c r="P43" s="60"/>
    </row>
    <row r="44">
      <c r="A44" s="60"/>
      <c r="B44" s="59" t="s">
        <v>43</v>
      </c>
      <c r="C44" s="59">
        <v>60.67</v>
      </c>
      <c r="D44" s="59">
        <v>65.0</v>
      </c>
      <c r="E44" s="59">
        <v>4.3</v>
      </c>
      <c r="F44" s="60">
        <f t="shared" si="29"/>
        <v>69.3</v>
      </c>
      <c r="G44" s="61">
        <f t="shared" ref="G44:G45" si="32">-E44</f>
        <v>-4.3</v>
      </c>
      <c r="H44" s="61">
        <f t="shared" si="30"/>
        <v>-2.563</v>
      </c>
      <c r="I44" s="61">
        <f t="shared" si="31"/>
        <v>3.504</v>
      </c>
      <c r="J44" s="60"/>
      <c r="K44" s="60"/>
      <c r="L44" s="60"/>
      <c r="M44" s="60"/>
      <c r="N44" s="60"/>
      <c r="O44" s="60"/>
      <c r="P44" s="60"/>
    </row>
    <row r="45">
      <c r="A45" s="60"/>
      <c r="B45" s="59" t="s">
        <v>43</v>
      </c>
      <c r="C45" s="59">
        <v>60.67</v>
      </c>
      <c r="D45" s="59">
        <v>70.0</v>
      </c>
      <c r="E45" s="59">
        <v>2.83</v>
      </c>
      <c r="F45" s="60">
        <f t="shared" si="29"/>
        <v>72.83</v>
      </c>
      <c r="G45" s="61">
        <f t="shared" si="32"/>
        <v>-2.83</v>
      </c>
      <c r="H45" s="61">
        <f>-E45</f>
        <v>-2.83</v>
      </c>
      <c r="I45" s="61">
        <f t="shared" si="31"/>
        <v>-0.026</v>
      </c>
      <c r="J45" s="60"/>
      <c r="K45" s="60"/>
      <c r="L45" s="60"/>
      <c r="M45" s="60"/>
      <c r="N45" s="60"/>
      <c r="O45" s="60"/>
      <c r="P45" s="60"/>
    </row>
    <row r="46">
      <c r="A46" s="62" t="s">
        <v>44</v>
      </c>
      <c r="B46" s="62" t="s">
        <v>45</v>
      </c>
      <c r="C46" s="63">
        <v>66.4</v>
      </c>
      <c r="D46" s="62">
        <v>65.0</v>
      </c>
      <c r="E46" s="62">
        <v>6.69</v>
      </c>
      <c r="F46" s="64">
        <f t="shared" si="29"/>
        <v>71.69</v>
      </c>
      <c r="G46" s="65">
        <f t="shared" ref="G46:G47" si="33">C46*(1.05)-F46</f>
        <v>-1.97</v>
      </c>
      <c r="H46" s="65">
        <f t="shared" ref="H46:H48" si="34">C46*(1.1)-F46</f>
        <v>1.35</v>
      </c>
      <c r="I46" s="65">
        <f t="shared" si="31"/>
        <v>7.99</v>
      </c>
      <c r="J46" s="64"/>
      <c r="K46" s="64"/>
      <c r="L46" s="66"/>
      <c r="M46" s="66"/>
      <c r="N46" s="66"/>
      <c r="O46" s="64"/>
      <c r="P46" s="64"/>
    </row>
    <row r="47">
      <c r="A47" s="64"/>
      <c r="B47" s="62" t="s">
        <v>45</v>
      </c>
      <c r="C47" s="63">
        <v>66.4</v>
      </c>
      <c r="D47" s="62">
        <v>67.5</v>
      </c>
      <c r="E47" s="62">
        <v>5.25</v>
      </c>
      <c r="F47" s="64">
        <f t="shared" si="29"/>
        <v>72.75</v>
      </c>
      <c r="G47" s="65">
        <f t="shared" si="33"/>
        <v>-3.03</v>
      </c>
      <c r="H47" s="65">
        <f t="shared" si="34"/>
        <v>0.29</v>
      </c>
      <c r="I47" s="65">
        <f t="shared" si="31"/>
        <v>6.93</v>
      </c>
      <c r="J47" s="64"/>
      <c r="K47" s="64"/>
      <c r="L47" s="66"/>
      <c r="M47" s="66"/>
      <c r="N47" s="66"/>
      <c r="O47" s="64"/>
      <c r="P47" s="64"/>
    </row>
    <row r="48">
      <c r="A48" s="64"/>
      <c r="B48" s="62" t="s">
        <v>45</v>
      </c>
      <c r="C48" s="63">
        <v>66.4</v>
      </c>
      <c r="D48" s="62">
        <v>70.0</v>
      </c>
      <c r="E48" s="62">
        <v>4.23</v>
      </c>
      <c r="F48" s="64">
        <f t="shared" si="29"/>
        <v>74.23</v>
      </c>
      <c r="G48" s="67">
        <v>-4.23</v>
      </c>
      <c r="H48" s="65">
        <f t="shared" si="34"/>
        <v>-1.19</v>
      </c>
      <c r="I48" s="65">
        <f t="shared" si="31"/>
        <v>5.45</v>
      </c>
      <c r="J48" s="64"/>
      <c r="K48" s="64"/>
      <c r="L48" s="66"/>
      <c r="M48" s="66"/>
      <c r="N48" s="66"/>
      <c r="O48" s="64"/>
      <c r="P48" s="64"/>
    </row>
    <row r="49">
      <c r="A49" s="68" t="s">
        <v>46</v>
      </c>
      <c r="B49" s="68" t="s">
        <v>47</v>
      </c>
      <c r="C49" s="68">
        <v>1.6</v>
      </c>
      <c r="D49" s="68">
        <v>1.0</v>
      </c>
      <c r="E49" s="68">
        <v>0.55</v>
      </c>
      <c r="F49" s="69">
        <f t="shared" si="29"/>
        <v>1.55</v>
      </c>
      <c r="G49" s="69">
        <f>C49*1.05-F49</f>
        <v>0.13</v>
      </c>
      <c r="H49" s="69">
        <f>C49*1.1-F49</f>
        <v>0.21</v>
      </c>
      <c r="I49" s="69">
        <f>C49*1.2-F49</f>
        <v>0.37</v>
      </c>
      <c r="J49" s="69"/>
      <c r="K49" s="69"/>
      <c r="L49" s="69"/>
      <c r="M49" s="69"/>
      <c r="N49" s="69"/>
      <c r="O49" s="69"/>
      <c r="P49" s="69"/>
    </row>
    <row r="50">
      <c r="A50" s="69"/>
      <c r="B50" s="68" t="s">
        <v>47</v>
      </c>
      <c r="C50" s="68">
        <v>1.6</v>
      </c>
      <c r="D50" s="68">
        <v>2.0</v>
      </c>
      <c r="E50" s="68">
        <v>0.25</v>
      </c>
      <c r="F50" s="69">
        <f t="shared" si="29"/>
        <v>2.25</v>
      </c>
      <c r="G50" s="69">
        <f t="shared" ref="G50:I50" si="35">-0.25</f>
        <v>-0.25</v>
      </c>
      <c r="H50" s="69">
        <f t="shared" si="35"/>
        <v>-0.25</v>
      </c>
      <c r="I50" s="69">
        <f t="shared" si="35"/>
        <v>-0.25</v>
      </c>
      <c r="J50" s="69"/>
      <c r="K50" s="69"/>
      <c r="L50" s="69"/>
      <c r="M50" s="69"/>
      <c r="N50" s="69"/>
      <c r="O50" s="69"/>
      <c r="P50" s="69"/>
    </row>
    <row r="51">
      <c r="A51" s="69"/>
      <c r="B51" s="68" t="s">
        <v>47</v>
      </c>
      <c r="C51" s="68">
        <v>1.6</v>
      </c>
      <c r="D51" s="68">
        <v>3.0</v>
      </c>
      <c r="E51" s="68">
        <v>0.1</v>
      </c>
      <c r="F51" s="69">
        <f t="shared" si="29"/>
        <v>3.1</v>
      </c>
      <c r="G51" s="68">
        <v>-0.1</v>
      </c>
      <c r="H51" s="68">
        <v>-0.1</v>
      </c>
      <c r="I51" s="68">
        <v>-0.1</v>
      </c>
      <c r="J51" s="69"/>
      <c r="K51" s="69"/>
      <c r="L51" s="69"/>
      <c r="M51" s="69"/>
      <c r="N51" s="69"/>
      <c r="O51" s="69"/>
      <c r="P51" s="69"/>
    </row>
    <row r="52">
      <c r="A52" s="70" t="s">
        <v>48</v>
      </c>
      <c r="B52" s="70" t="s">
        <v>49</v>
      </c>
      <c r="C52" s="70">
        <v>287.61</v>
      </c>
      <c r="D52" s="70">
        <v>260.0</v>
      </c>
      <c r="E52" s="70">
        <v>50.2</v>
      </c>
      <c r="F52" s="71">
        <f t="shared" si="29"/>
        <v>310.2</v>
      </c>
      <c r="G52" s="71">
        <f>C52*(1+0.05)-F52</f>
        <v>-8.2095</v>
      </c>
      <c r="H52" s="71">
        <f t="shared" ref="H52:H54" si="36">C52*(1+0.1)-F52</f>
        <v>6.171</v>
      </c>
      <c r="I52" s="71">
        <f t="shared" ref="I52:I54" si="37">C52*(1+0.2)-F52</f>
        <v>34.932</v>
      </c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>
      <c r="A53" s="70" t="s">
        <v>48</v>
      </c>
      <c r="B53" s="70" t="s">
        <v>49</v>
      </c>
      <c r="C53" s="70">
        <v>287.61</v>
      </c>
      <c r="D53" s="70">
        <v>310.0</v>
      </c>
      <c r="E53" s="70">
        <v>29.6</v>
      </c>
      <c r="F53" s="71">
        <f t="shared" si="29"/>
        <v>339.6</v>
      </c>
      <c r="G53" s="70" t="s">
        <v>50</v>
      </c>
      <c r="H53" s="71">
        <f t="shared" si="36"/>
        <v>-23.229</v>
      </c>
      <c r="I53" s="71">
        <f t="shared" si="37"/>
        <v>5.532</v>
      </c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>
      <c r="A54" s="70" t="s">
        <v>48</v>
      </c>
      <c r="B54" s="70" t="s">
        <v>49</v>
      </c>
      <c r="C54" s="70">
        <v>287.61</v>
      </c>
      <c r="D54" s="70">
        <v>290.0</v>
      </c>
      <c r="E54" s="70">
        <v>37.8</v>
      </c>
      <c r="F54" s="71">
        <f t="shared" si="29"/>
        <v>327.8</v>
      </c>
      <c r="G54" s="71">
        <f>C54*(1+0.05)-F54</f>
        <v>-25.8095</v>
      </c>
      <c r="H54" s="71">
        <f t="shared" si="36"/>
        <v>-11.429</v>
      </c>
      <c r="I54" s="71">
        <f t="shared" si="37"/>
        <v>17.332</v>
      </c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>
      <c r="A55" s="72" t="s">
        <v>51</v>
      </c>
      <c r="B55" s="72" t="s">
        <v>52</v>
      </c>
      <c r="C55" s="72">
        <v>61.94</v>
      </c>
      <c r="D55" s="72">
        <v>40.0</v>
      </c>
      <c r="E55" s="73">
        <f>23.25</f>
        <v>23.25</v>
      </c>
      <c r="F55" s="73">
        <f t="shared" ref="F55:F57" si="38">E55+D55</f>
        <v>63.25</v>
      </c>
      <c r="G55" s="72">
        <f t="shared" ref="G55:G57" si="39">C55*1.05-F55</f>
        <v>1.787</v>
      </c>
      <c r="H55" s="73">
        <f t="shared" ref="H55:H57" si="40">C55*1.1-F55</f>
        <v>4.884</v>
      </c>
      <c r="I55" s="73">
        <f t="shared" ref="I55:I57" si="41">C55*1.2-F55</f>
        <v>11.078</v>
      </c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>
      <c r="A56" s="72" t="s">
        <v>51</v>
      </c>
      <c r="B56" s="72" t="s">
        <v>52</v>
      </c>
      <c r="C56" s="72">
        <v>61.94</v>
      </c>
      <c r="D56" s="72">
        <v>62.0</v>
      </c>
      <c r="E56" s="72">
        <v>0.38</v>
      </c>
      <c r="F56" s="73">
        <f t="shared" si="38"/>
        <v>62.38</v>
      </c>
      <c r="G56" s="72">
        <f t="shared" si="39"/>
        <v>2.657</v>
      </c>
      <c r="H56" s="73">
        <f t="shared" si="40"/>
        <v>5.754</v>
      </c>
      <c r="I56" s="73">
        <f t="shared" si="41"/>
        <v>11.948</v>
      </c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>
      <c r="A57" s="72" t="s">
        <v>51</v>
      </c>
      <c r="B57" s="72" t="s">
        <v>52</v>
      </c>
      <c r="C57" s="72">
        <v>61.94</v>
      </c>
      <c r="D57" s="72">
        <v>90.0</v>
      </c>
      <c r="E57" s="72">
        <v>0.11</v>
      </c>
      <c r="F57" s="73">
        <f t="shared" si="38"/>
        <v>90.11</v>
      </c>
      <c r="G57" s="72">
        <f t="shared" si="39"/>
        <v>-25.073</v>
      </c>
      <c r="H57" s="73">
        <f t="shared" si="40"/>
        <v>-21.976</v>
      </c>
      <c r="I57" s="73">
        <f t="shared" si="41"/>
        <v>-15.782</v>
      </c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</sheetData>
  <mergeCells count="1">
    <mergeCell ref="A24:A26"/>
  </mergeCells>
  <conditionalFormatting sqref="B46:B48">
    <cfRule type="notContainsBlanks" dxfId="0" priority="1">
      <formula>LEN(TRIM(B46))&gt;0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3" max="3" width="26.63"/>
    <col customWidth="1" min="4" max="4" width="25.13"/>
    <col customWidth="1" min="5" max="5" width="14.75"/>
    <col customWidth="1" min="6" max="6" width="15.88"/>
    <col customWidth="1" min="10" max="10" width="16.13"/>
  </cols>
  <sheetData>
    <row r="1">
      <c r="A1" s="74" t="s">
        <v>53</v>
      </c>
      <c r="D1" s="75" t="s">
        <v>54</v>
      </c>
      <c r="H1" s="76"/>
      <c r="I1" s="76"/>
      <c r="J1" s="76"/>
      <c r="K1" s="76"/>
      <c r="L1" s="76"/>
      <c r="M1" s="76"/>
    </row>
    <row r="2">
      <c r="B2" s="77"/>
      <c r="C2" s="77"/>
      <c r="D2" s="77"/>
      <c r="E2" s="77"/>
      <c r="F2" s="77"/>
      <c r="G2" s="77"/>
      <c r="H2" s="76"/>
      <c r="I2" s="76"/>
      <c r="J2" s="76" t="s">
        <v>55</v>
      </c>
      <c r="K2" s="76" t="s">
        <v>56</v>
      </c>
      <c r="L2" s="76" t="s">
        <v>57</v>
      </c>
      <c r="M2" s="76" t="s">
        <v>58</v>
      </c>
      <c r="N2" s="77"/>
      <c r="O2" s="77"/>
      <c r="P2" s="77"/>
      <c r="Q2" s="77"/>
    </row>
    <row r="3">
      <c r="A3" s="78" t="s">
        <v>59</v>
      </c>
      <c r="B3" s="79" t="s">
        <v>60</v>
      </c>
      <c r="C3" s="79" t="s">
        <v>61</v>
      </c>
      <c r="D3" s="80" t="s">
        <v>62</v>
      </c>
      <c r="E3" s="81" t="s">
        <v>63</v>
      </c>
      <c r="F3" s="81" t="s">
        <v>64</v>
      </c>
      <c r="G3" s="80" t="s">
        <v>65</v>
      </c>
      <c r="H3" s="82" t="s">
        <v>66</v>
      </c>
      <c r="I3" s="82" t="s">
        <v>67</v>
      </c>
      <c r="J3" s="82" t="s">
        <v>68</v>
      </c>
      <c r="K3" s="80" t="s">
        <v>69</v>
      </c>
      <c r="L3" s="80" t="s">
        <v>70</v>
      </c>
      <c r="M3" s="80" t="s">
        <v>71</v>
      </c>
      <c r="N3" s="80" t="s">
        <v>72</v>
      </c>
      <c r="O3" s="80" t="s">
        <v>73</v>
      </c>
      <c r="P3" s="80" t="s">
        <v>74</v>
      </c>
      <c r="Q3" s="80" t="s">
        <v>75</v>
      </c>
    </row>
    <row r="4">
      <c r="A4" s="83" t="s">
        <v>76</v>
      </c>
      <c r="B4" s="84" t="s">
        <v>77</v>
      </c>
      <c r="C4" s="84" t="s">
        <v>78</v>
      </c>
      <c r="D4" s="84" t="s">
        <v>79</v>
      </c>
      <c r="E4" s="84">
        <v>63.99</v>
      </c>
      <c r="F4" s="84">
        <v>38.533</v>
      </c>
      <c r="G4" s="84" t="s">
        <v>80</v>
      </c>
      <c r="H4" s="84">
        <v>91.44</v>
      </c>
      <c r="I4" s="85">
        <v>0.0275</v>
      </c>
      <c r="J4" s="86">
        <v>46174.0</v>
      </c>
      <c r="K4" s="84" t="s">
        <v>81</v>
      </c>
      <c r="L4" s="84" t="s">
        <v>82</v>
      </c>
      <c r="M4" s="84">
        <v>-0.95</v>
      </c>
      <c r="N4" s="84">
        <v>0.27</v>
      </c>
      <c r="O4" s="84">
        <v>93.7</v>
      </c>
      <c r="P4" s="84" t="s">
        <v>83</v>
      </c>
      <c r="Q4" s="84" t="s">
        <v>81</v>
      </c>
    </row>
    <row r="5">
      <c r="A5" s="83" t="s">
        <v>84</v>
      </c>
      <c r="B5" s="84" t="s">
        <v>85</v>
      </c>
      <c r="C5" s="84" t="s">
        <v>86</v>
      </c>
      <c r="D5" s="84" t="s">
        <v>87</v>
      </c>
      <c r="E5" s="87">
        <v>221.93</v>
      </c>
      <c r="F5" s="88" t="s">
        <v>88</v>
      </c>
      <c r="G5" s="84" t="s">
        <v>89</v>
      </c>
      <c r="H5" s="84">
        <v>94.25</v>
      </c>
      <c r="I5" s="89">
        <v>0.0575</v>
      </c>
      <c r="J5" s="90">
        <v>46583.0</v>
      </c>
      <c r="K5" s="84" t="s">
        <v>81</v>
      </c>
      <c r="L5" s="84" t="s">
        <v>82</v>
      </c>
      <c r="M5" s="84">
        <v>57.22</v>
      </c>
      <c r="N5" s="84" t="s">
        <v>90</v>
      </c>
      <c r="O5" s="84">
        <v>256.25</v>
      </c>
      <c r="P5" s="84" t="s">
        <v>91</v>
      </c>
      <c r="Q5" s="84"/>
    </row>
    <row r="6">
      <c r="A6" s="83" t="s">
        <v>92</v>
      </c>
      <c r="B6" s="84" t="s">
        <v>93</v>
      </c>
      <c r="C6" s="84" t="s">
        <v>94</v>
      </c>
      <c r="D6" s="84" t="s">
        <v>79</v>
      </c>
      <c r="E6" s="84">
        <v>15.91</v>
      </c>
      <c r="F6" s="84">
        <v>2.281</v>
      </c>
      <c r="G6" s="84" t="s">
        <v>80</v>
      </c>
      <c r="H6" s="84">
        <v>91.52</v>
      </c>
      <c r="I6" s="85">
        <v>0.05625</v>
      </c>
      <c r="J6" s="90">
        <v>46919.0</v>
      </c>
      <c r="K6" s="84" t="s">
        <v>95</v>
      </c>
      <c r="L6" s="84">
        <v>0.0</v>
      </c>
      <c r="M6" s="84">
        <v>-1.69</v>
      </c>
      <c r="N6" s="84">
        <v>1.55</v>
      </c>
      <c r="O6" s="84">
        <v>16.17</v>
      </c>
      <c r="P6" s="84" t="s">
        <v>96</v>
      </c>
      <c r="Q6" s="84" t="s">
        <v>95</v>
      </c>
      <c r="R6" s="91"/>
    </row>
    <row r="7">
      <c r="A7" s="83" t="s">
        <v>97</v>
      </c>
      <c r="B7" s="84" t="s">
        <v>98</v>
      </c>
      <c r="C7" s="84" t="s">
        <v>99</v>
      </c>
      <c r="D7" s="84" t="s">
        <v>100</v>
      </c>
      <c r="E7" s="84">
        <v>8.85</v>
      </c>
      <c r="F7" s="84" t="s">
        <v>101</v>
      </c>
      <c r="G7" s="84" t="s">
        <v>102</v>
      </c>
      <c r="H7" s="84">
        <v>49.136</v>
      </c>
      <c r="I7" s="85">
        <v>0.055</v>
      </c>
      <c r="J7" s="86">
        <v>46492.0</v>
      </c>
      <c r="K7" s="84" t="s">
        <v>81</v>
      </c>
      <c r="L7" s="84" t="s">
        <v>82</v>
      </c>
      <c r="M7" s="84">
        <v>-15.52</v>
      </c>
      <c r="N7" s="84">
        <v>17.69</v>
      </c>
      <c r="O7" s="84">
        <v>9.33</v>
      </c>
      <c r="P7" s="84" t="s">
        <v>96</v>
      </c>
      <c r="Q7" s="84" t="s">
        <v>81</v>
      </c>
    </row>
    <row r="8">
      <c r="A8" s="83" t="s">
        <v>103</v>
      </c>
      <c r="B8" s="84" t="s">
        <v>104</v>
      </c>
      <c r="C8" s="84" t="s">
        <v>105</v>
      </c>
      <c r="D8" s="84" t="s">
        <v>106</v>
      </c>
      <c r="E8" s="84">
        <v>17.9</v>
      </c>
      <c r="F8" s="84">
        <v>0.774478</v>
      </c>
      <c r="G8" s="84" t="s">
        <v>107</v>
      </c>
      <c r="H8" s="84">
        <v>85.51</v>
      </c>
      <c r="I8" s="89">
        <v>0.08</v>
      </c>
      <c r="J8" s="86">
        <v>47270.0</v>
      </c>
      <c r="K8" s="84" t="s">
        <v>95</v>
      </c>
      <c r="L8" s="84">
        <v>1.0</v>
      </c>
      <c r="M8" s="84">
        <v>1.5</v>
      </c>
      <c r="N8" s="84">
        <v>2.72</v>
      </c>
      <c r="O8" s="84">
        <v>27.33</v>
      </c>
      <c r="P8" s="84" t="s">
        <v>83</v>
      </c>
      <c r="Q8" s="84" t="s">
        <v>95</v>
      </c>
    </row>
    <row r="9">
      <c r="A9" s="83" t="s">
        <v>108</v>
      </c>
      <c r="B9" s="84" t="s">
        <v>109</v>
      </c>
      <c r="C9" s="84" t="s">
        <v>110</v>
      </c>
      <c r="D9" s="84" t="s">
        <v>79</v>
      </c>
      <c r="E9" s="84">
        <v>11.58</v>
      </c>
      <c r="F9" s="84" t="s">
        <v>111</v>
      </c>
      <c r="G9" s="84" t="s">
        <v>80</v>
      </c>
      <c r="H9" s="84">
        <v>69.5</v>
      </c>
      <c r="I9" s="89">
        <v>0.03625</v>
      </c>
      <c r="J9" s="90">
        <v>47392.0</v>
      </c>
      <c r="K9" s="84" t="s">
        <v>95</v>
      </c>
      <c r="L9" s="84">
        <v>34.0</v>
      </c>
      <c r="M9" s="84">
        <v>0.15</v>
      </c>
      <c r="N9" s="84">
        <v>0.71</v>
      </c>
      <c r="O9" s="84">
        <v>12.21</v>
      </c>
      <c r="P9" s="84" t="s">
        <v>83</v>
      </c>
      <c r="Q9" s="84" t="s">
        <v>81</v>
      </c>
    </row>
    <row r="10">
      <c r="A10" s="83" t="s">
        <v>112</v>
      </c>
      <c r="B10" s="84" t="s">
        <v>113</v>
      </c>
      <c r="C10" s="84" t="s">
        <v>114</v>
      </c>
      <c r="D10" s="84" t="s">
        <v>100</v>
      </c>
      <c r="E10" s="84">
        <f>IFERROR(__xludf.DUMMYFUNCTION("GOOGLEFINANCE(B10,""price"")"),96.21)</f>
        <v>96.21</v>
      </c>
      <c r="F10" s="84" t="s">
        <v>115</v>
      </c>
      <c r="G10" s="84" t="s">
        <v>116</v>
      </c>
      <c r="H10" s="84">
        <v>85.514</v>
      </c>
      <c r="I10" s="84">
        <v>4.25</v>
      </c>
      <c r="J10" s="86">
        <v>47192.0</v>
      </c>
      <c r="K10" s="84" t="s">
        <v>81</v>
      </c>
      <c r="L10" s="84" t="s">
        <v>82</v>
      </c>
      <c r="M10" s="84">
        <v>8.69</v>
      </c>
      <c r="N10" s="84">
        <v>2.84</v>
      </c>
      <c r="O10" s="84">
        <v>150.33</v>
      </c>
      <c r="P10" s="84" t="s">
        <v>117</v>
      </c>
      <c r="Q10" s="84" t="s">
        <v>81</v>
      </c>
    </row>
    <row r="11">
      <c r="A11" s="83" t="s">
        <v>118</v>
      </c>
      <c r="B11" s="84" t="s">
        <v>119</v>
      </c>
      <c r="C11" s="84" t="s">
        <v>120</v>
      </c>
      <c r="D11" s="84" t="s">
        <v>54</v>
      </c>
      <c r="E11" s="84">
        <v>207.83</v>
      </c>
      <c r="F11" s="84" t="s">
        <v>121</v>
      </c>
      <c r="G11" s="84" t="s">
        <v>122</v>
      </c>
      <c r="H11" s="84">
        <v>77.528</v>
      </c>
      <c r="I11" s="84">
        <v>3.875</v>
      </c>
      <c r="J11" s="92">
        <v>52079.0</v>
      </c>
      <c r="K11" s="84" t="s">
        <v>95</v>
      </c>
      <c r="L11" s="84">
        <v>19.0</v>
      </c>
      <c r="M11" s="84">
        <v>12.71</v>
      </c>
      <c r="N11" s="84">
        <v>0.83</v>
      </c>
      <c r="O11" s="84">
        <v>208.58</v>
      </c>
      <c r="P11" s="84" t="s">
        <v>117</v>
      </c>
      <c r="Q11" s="84" t="s">
        <v>123</v>
      </c>
    </row>
    <row r="12">
      <c r="A12" s="83" t="s">
        <v>124</v>
      </c>
      <c r="B12" s="84" t="s">
        <v>125</v>
      </c>
      <c r="C12" s="84" t="s">
        <v>126</v>
      </c>
      <c r="D12" s="84" t="s">
        <v>79</v>
      </c>
      <c r="E12" s="84">
        <v>188.22</v>
      </c>
      <c r="F12" s="84" t="s">
        <v>127</v>
      </c>
      <c r="G12" s="84" t="s">
        <v>122</v>
      </c>
      <c r="H12" s="84">
        <v>915.5</v>
      </c>
      <c r="I12" s="84">
        <v>2.0</v>
      </c>
      <c r="J12" s="86">
        <v>45427.0</v>
      </c>
      <c r="K12" s="84" t="s">
        <v>81</v>
      </c>
      <c r="L12" s="84">
        <v>0.0</v>
      </c>
      <c r="M12" s="84">
        <v>3.86</v>
      </c>
      <c r="N12" s="84">
        <v>12.52</v>
      </c>
      <c r="O12" s="84">
        <v>196.3</v>
      </c>
      <c r="P12" s="84" t="s">
        <v>117</v>
      </c>
      <c r="Q12" s="84" t="s">
        <v>123</v>
      </c>
    </row>
    <row r="13">
      <c r="A13" s="83" t="s">
        <v>128</v>
      </c>
      <c r="B13" s="84" t="s">
        <v>129</v>
      </c>
      <c r="C13" s="84" t="s">
        <v>130</v>
      </c>
      <c r="D13" s="84" t="s">
        <v>131</v>
      </c>
      <c r="E13" s="84">
        <v>64.98</v>
      </c>
      <c r="F13" s="84" t="s">
        <v>132</v>
      </c>
      <c r="G13" s="84" t="s">
        <v>89</v>
      </c>
      <c r="H13" s="84">
        <v>62.0</v>
      </c>
      <c r="I13" s="85">
        <v>0.03375</v>
      </c>
      <c r="J13" s="90">
        <v>47027.0</v>
      </c>
      <c r="K13" s="84" t="s">
        <v>81</v>
      </c>
      <c r="L13" s="84" t="s">
        <v>82</v>
      </c>
      <c r="M13" s="84">
        <v>-11.38</v>
      </c>
      <c r="N13" s="84">
        <v>0.63</v>
      </c>
      <c r="O13" s="84">
        <v>0.54</v>
      </c>
      <c r="P13" s="84" t="s">
        <v>133</v>
      </c>
      <c r="Q13" s="84" t="s">
        <v>81</v>
      </c>
    </row>
    <row r="14">
      <c r="A14" s="83" t="s">
        <v>134</v>
      </c>
      <c r="B14" s="84" t="s">
        <v>135</v>
      </c>
      <c r="C14" s="84" t="s">
        <v>136</v>
      </c>
      <c r="D14" s="84" t="s">
        <v>87</v>
      </c>
      <c r="E14" s="93">
        <f>IFERROR(__xludf.DUMMYFUNCTION("GOOGLEFINANCE(B14, ""PRICE"")"),11.59)</f>
        <v>11.59</v>
      </c>
      <c r="F14" s="94">
        <f>IFERROR(__xludf.DUMMYFUNCTION("GOOGLEFINANCE(B14,""marketcap"")"),4.639423747E10)</f>
        <v>46394237470</v>
      </c>
      <c r="G14" s="84" t="s">
        <v>80</v>
      </c>
      <c r="H14" s="84">
        <v>99.3</v>
      </c>
      <c r="I14" s="85">
        <v>0.07125</v>
      </c>
      <c r="J14" s="90">
        <v>45976.0</v>
      </c>
      <c r="K14" s="84" t="s">
        <v>123</v>
      </c>
      <c r="L14" s="84">
        <v>0.0</v>
      </c>
      <c r="M14" s="84">
        <v>-0.47</v>
      </c>
      <c r="N14" s="84">
        <v>3.21</v>
      </c>
      <c r="O14" s="84">
        <v>13.42</v>
      </c>
      <c r="P14" s="84" t="s">
        <v>117</v>
      </c>
      <c r="Q14" s="84" t="s">
        <v>123</v>
      </c>
    </row>
    <row r="15">
      <c r="A15" s="83" t="s">
        <v>137</v>
      </c>
      <c r="B15" s="84" t="s">
        <v>138</v>
      </c>
      <c r="C15" s="84" t="s">
        <v>139</v>
      </c>
      <c r="D15" s="84" t="s">
        <v>79</v>
      </c>
      <c r="E15" s="84">
        <v>11.28</v>
      </c>
      <c r="F15" s="84">
        <v>3.192</v>
      </c>
      <c r="G15" s="84" t="s">
        <v>89</v>
      </c>
      <c r="H15" s="84">
        <v>99.62</v>
      </c>
      <c r="I15" s="85">
        <v>0.07</v>
      </c>
      <c r="J15" s="86">
        <v>46827.0</v>
      </c>
      <c r="K15" s="84" t="s">
        <v>140</v>
      </c>
      <c r="L15" s="84" t="s">
        <v>82</v>
      </c>
      <c r="M15" s="84">
        <v>0.71</v>
      </c>
      <c r="N15" s="84">
        <v>3.1</v>
      </c>
      <c r="O15" s="84">
        <v>13.29</v>
      </c>
      <c r="P15" s="84" t="s">
        <v>83</v>
      </c>
      <c r="Q15" s="84" t="s">
        <v>81</v>
      </c>
    </row>
    <row r="16">
      <c r="A16" s="83" t="s">
        <v>141</v>
      </c>
      <c r="B16" s="84" t="s">
        <v>35</v>
      </c>
      <c r="C16" s="84" t="s">
        <v>142</v>
      </c>
      <c r="D16" s="84" t="s">
        <v>143</v>
      </c>
      <c r="E16" s="84">
        <v>3.48</v>
      </c>
      <c r="F16" s="84">
        <v>0.196701</v>
      </c>
      <c r="G16" s="84" t="s">
        <v>144</v>
      </c>
      <c r="H16" s="84">
        <v>86.0</v>
      </c>
      <c r="I16" s="95">
        <v>0.06875</v>
      </c>
      <c r="J16" s="90">
        <v>47102.0</v>
      </c>
      <c r="K16" s="84" t="s">
        <v>81</v>
      </c>
      <c r="L16" s="84">
        <v>0.0</v>
      </c>
      <c r="M16" s="84">
        <v>-16.56</v>
      </c>
      <c r="N16" s="84" t="s">
        <v>90</v>
      </c>
      <c r="O16" s="84">
        <v>3.0</v>
      </c>
      <c r="P16" s="84" t="s">
        <v>83</v>
      </c>
      <c r="Q16" s="84" t="s">
        <v>81</v>
      </c>
    </row>
    <row r="17">
      <c r="A17" s="83" t="s">
        <v>145</v>
      </c>
      <c r="B17" s="84" t="s">
        <v>33</v>
      </c>
      <c r="C17" s="84" t="s">
        <v>146</v>
      </c>
      <c r="D17" s="84" t="s">
        <v>147</v>
      </c>
      <c r="E17" s="84">
        <v>11.6</v>
      </c>
      <c r="F17" s="94" t="s">
        <v>148</v>
      </c>
      <c r="G17" s="84" t="s">
        <v>116</v>
      </c>
      <c r="H17" s="88">
        <v>76.5</v>
      </c>
      <c r="I17" s="85">
        <v>0.07375</v>
      </c>
      <c r="J17" s="90">
        <v>46935.0</v>
      </c>
      <c r="K17" s="84" t="s">
        <v>81</v>
      </c>
      <c r="L17" s="84">
        <v>0.0</v>
      </c>
      <c r="M17" s="84">
        <v>3.56</v>
      </c>
      <c r="N17" s="84">
        <v>1.19</v>
      </c>
      <c r="O17" s="84">
        <v>28.8</v>
      </c>
      <c r="P17" s="84" t="s">
        <v>96</v>
      </c>
      <c r="Q17" s="84" t="s">
        <v>81</v>
      </c>
    </row>
    <row r="18">
      <c r="A18" s="83" t="s">
        <v>149</v>
      </c>
      <c r="B18" s="84" t="s">
        <v>150</v>
      </c>
      <c r="C18" s="84" t="s">
        <v>151</v>
      </c>
      <c r="D18" s="84" t="s">
        <v>152</v>
      </c>
      <c r="E18" s="84">
        <v>9.69</v>
      </c>
      <c r="F18" s="84" t="s">
        <v>153</v>
      </c>
      <c r="G18" s="84" t="s">
        <v>154</v>
      </c>
      <c r="H18" s="84">
        <v>75.83</v>
      </c>
      <c r="I18" s="84">
        <v>6.65</v>
      </c>
      <c r="J18" s="90">
        <v>46767.0</v>
      </c>
      <c r="K18" s="84" t="s">
        <v>155</v>
      </c>
      <c r="L18" s="84">
        <v>0.0</v>
      </c>
      <c r="M18" s="84">
        <v>-4.9</v>
      </c>
      <c r="N18" s="84">
        <v>507.87</v>
      </c>
      <c r="O18" s="84">
        <v>10.81</v>
      </c>
      <c r="P18" s="84" t="s">
        <v>117</v>
      </c>
      <c r="Q18" s="84" t="s">
        <v>155</v>
      </c>
    </row>
    <row r="19">
      <c r="A19" s="83" t="s">
        <v>156</v>
      </c>
      <c r="B19" s="84" t="s">
        <v>157</v>
      </c>
      <c r="C19" s="84" t="s">
        <v>158</v>
      </c>
      <c r="D19" s="84" t="s">
        <v>106</v>
      </c>
      <c r="E19" s="84">
        <v>43.46</v>
      </c>
      <c r="F19" s="96" t="s">
        <v>159</v>
      </c>
      <c r="G19" s="84" t="s">
        <v>160</v>
      </c>
      <c r="H19" s="84">
        <v>80.308</v>
      </c>
      <c r="I19" s="89">
        <v>0.03</v>
      </c>
      <c r="J19" s="86">
        <v>47983.0</v>
      </c>
      <c r="K19" s="84" t="s">
        <v>95</v>
      </c>
      <c r="L19" s="84">
        <v>22.0</v>
      </c>
      <c r="M19" s="84">
        <v>8.84</v>
      </c>
      <c r="N19" s="84">
        <v>0.72</v>
      </c>
      <c r="O19" s="84">
        <v>47.0</v>
      </c>
      <c r="P19" s="84" t="s">
        <v>96</v>
      </c>
      <c r="Q19" s="84" t="s">
        <v>161</v>
      </c>
    </row>
    <row r="20">
      <c r="A20" s="83" t="s">
        <v>162</v>
      </c>
      <c r="B20" s="84" t="s">
        <v>163</v>
      </c>
      <c r="C20" s="84" t="s">
        <v>164</v>
      </c>
      <c r="D20" s="84" t="s">
        <v>165</v>
      </c>
      <c r="E20" s="84">
        <v>5.65</v>
      </c>
      <c r="F20" s="84" t="s">
        <v>166</v>
      </c>
      <c r="G20" s="84" t="s">
        <v>154</v>
      </c>
      <c r="H20" s="88">
        <v>61.55</v>
      </c>
      <c r="I20" s="85">
        <v>0.075</v>
      </c>
      <c r="J20" s="90">
        <v>47164.0</v>
      </c>
      <c r="K20" s="84" t="s">
        <v>81</v>
      </c>
      <c r="L20" s="84" t="s">
        <v>82</v>
      </c>
      <c r="M20" s="84">
        <v>2.38</v>
      </c>
      <c r="N20" s="84">
        <v>0.8</v>
      </c>
      <c r="O20" s="84">
        <v>2.39</v>
      </c>
      <c r="P20" s="84" t="s">
        <v>83</v>
      </c>
      <c r="Q20" s="84" t="s">
        <v>155</v>
      </c>
    </row>
    <row r="21">
      <c r="A21" s="83" t="s">
        <v>167</v>
      </c>
      <c r="B21" s="84" t="s">
        <v>52</v>
      </c>
      <c r="C21" s="84" t="s">
        <v>168</v>
      </c>
      <c r="D21" s="84" t="s">
        <v>169</v>
      </c>
      <c r="E21" s="84">
        <v>62.49</v>
      </c>
      <c r="F21" s="84" t="s">
        <v>170</v>
      </c>
      <c r="G21" s="84" t="s">
        <v>116</v>
      </c>
      <c r="H21" s="84">
        <v>93.25</v>
      </c>
      <c r="I21" s="89">
        <v>0.075</v>
      </c>
      <c r="J21" s="90">
        <v>46675.0</v>
      </c>
      <c r="K21" s="84" t="s">
        <v>155</v>
      </c>
      <c r="L21" s="84">
        <v>0.0</v>
      </c>
      <c r="M21" s="84">
        <v>-8.66</v>
      </c>
      <c r="N21" s="84">
        <v>7.43</v>
      </c>
      <c r="O21" s="84">
        <v>78.64</v>
      </c>
      <c r="P21" s="84" t="s">
        <v>83</v>
      </c>
      <c r="Q21" s="84" t="s">
        <v>155</v>
      </c>
    </row>
    <row r="22">
      <c r="A22" s="83" t="s">
        <v>171</v>
      </c>
      <c r="B22" s="84" t="s">
        <v>172</v>
      </c>
      <c r="C22" s="84" t="s">
        <v>173</v>
      </c>
      <c r="D22" s="84" t="s">
        <v>174</v>
      </c>
      <c r="E22" s="84">
        <f>IFERROR(__xludf.DUMMYFUNCTION("GOOGLEFINANCE(B22,""price"")"),21.33)</f>
        <v>21.33</v>
      </c>
      <c r="F22" s="84" t="s">
        <v>175</v>
      </c>
      <c r="G22" s="84" t="s">
        <v>116</v>
      </c>
      <c r="H22" s="84">
        <v>82.183</v>
      </c>
      <c r="I22" s="84">
        <v>4.125</v>
      </c>
      <c r="J22" s="86">
        <v>47300.0</v>
      </c>
      <c r="K22" s="84" t="s">
        <v>155</v>
      </c>
      <c r="L22" s="84">
        <v>0.0</v>
      </c>
      <c r="M22" s="84">
        <v>1.35</v>
      </c>
      <c r="N22" s="84">
        <v>3.31</v>
      </c>
      <c r="O22" s="84">
        <v>41.89</v>
      </c>
      <c r="P22" s="84" t="s">
        <v>83</v>
      </c>
      <c r="Q22" s="93"/>
    </row>
    <row r="23">
      <c r="A23" s="83" t="s">
        <v>176</v>
      </c>
      <c r="B23" s="84" t="s">
        <v>31</v>
      </c>
      <c r="C23" s="84" t="s">
        <v>177</v>
      </c>
      <c r="D23" s="84" t="s">
        <v>178</v>
      </c>
      <c r="E23" s="84">
        <v>11.56</v>
      </c>
      <c r="F23" s="84">
        <v>3.11</v>
      </c>
      <c r="G23" s="84" t="s">
        <v>179</v>
      </c>
      <c r="H23" s="84">
        <v>88.53</v>
      </c>
      <c r="I23" s="85">
        <v>0.0675</v>
      </c>
      <c r="J23" s="90">
        <v>47178.0</v>
      </c>
      <c r="K23" s="84" t="s">
        <v>95</v>
      </c>
      <c r="L23" s="84">
        <v>2.0</v>
      </c>
      <c r="M23" s="84">
        <v>4.04</v>
      </c>
      <c r="N23" s="84">
        <v>0.94</v>
      </c>
      <c r="O23" s="84">
        <v>15.05</v>
      </c>
      <c r="P23" s="84" t="s">
        <v>180</v>
      </c>
      <c r="Q23" s="84" t="s">
        <v>95</v>
      </c>
      <c r="R23" s="97" t="s">
        <v>181</v>
      </c>
      <c r="S23" s="9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4" t="s">
        <v>59</v>
      </c>
      <c r="B1" s="99" t="s">
        <v>182</v>
      </c>
      <c r="C1" s="100"/>
      <c r="D1" s="100"/>
      <c r="E1" s="100"/>
      <c r="F1" s="100"/>
      <c r="G1" s="100"/>
      <c r="I1" s="74" t="s">
        <v>183</v>
      </c>
      <c r="J1" s="101"/>
      <c r="K1" s="101"/>
    </row>
    <row r="2">
      <c r="A2" s="84" t="s">
        <v>184</v>
      </c>
      <c r="B2" s="102">
        <v>1.0</v>
      </c>
      <c r="C2" s="103" t="s">
        <v>185</v>
      </c>
      <c r="D2" s="104"/>
      <c r="E2" s="104"/>
      <c r="F2" s="104"/>
      <c r="G2" s="104"/>
      <c r="I2" s="99" t="s">
        <v>59</v>
      </c>
      <c r="J2" s="105" t="s">
        <v>182</v>
      </c>
      <c r="K2" s="100"/>
      <c r="L2" s="100"/>
      <c r="M2" s="100"/>
      <c r="N2" s="100"/>
      <c r="O2" s="100"/>
    </row>
    <row r="3">
      <c r="A3" s="93"/>
      <c r="B3" s="106"/>
      <c r="C3" s="103" t="s">
        <v>186</v>
      </c>
      <c r="D3" s="104"/>
      <c r="E3" s="104"/>
      <c r="F3" s="104"/>
      <c r="G3" s="104"/>
      <c r="I3" s="107" t="s">
        <v>24</v>
      </c>
      <c r="J3" s="108">
        <v>1.0</v>
      </c>
      <c r="K3" s="103" t="s">
        <v>187</v>
      </c>
      <c r="L3" s="4"/>
      <c r="M3" s="4"/>
      <c r="N3" s="4"/>
      <c r="O3" s="104"/>
    </row>
    <row r="4">
      <c r="A4" s="93"/>
      <c r="B4" s="106"/>
      <c r="C4" s="103" t="s">
        <v>188</v>
      </c>
      <c r="D4" s="104"/>
      <c r="E4" s="104"/>
      <c r="F4" s="104"/>
      <c r="G4" s="104"/>
      <c r="I4" s="106"/>
      <c r="J4" s="104"/>
      <c r="K4" s="103" t="s">
        <v>189</v>
      </c>
      <c r="L4" s="104"/>
      <c r="M4" s="104"/>
      <c r="N4" s="104"/>
      <c r="O4" s="104"/>
    </row>
    <row r="5">
      <c r="A5" s="93"/>
      <c r="B5" s="106"/>
      <c r="C5" s="103" t="s">
        <v>190</v>
      </c>
      <c r="D5" s="104"/>
      <c r="E5" s="104"/>
      <c r="F5" s="104"/>
      <c r="G5" s="104"/>
      <c r="I5" s="106"/>
      <c r="J5" s="104"/>
      <c r="K5" s="103" t="s">
        <v>191</v>
      </c>
      <c r="L5" s="104"/>
      <c r="M5" s="104"/>
      <c r="N5" s="104"/>
      <c r="O5" s="104"/>
    </row>
    <row r="6">
      <c r="A6" s="93"/>
      <c r="B6" s="106"/>
      <c r="C6" s="103" t="s">
        <v>192</v>
      </c>
      <c r="D6" s="4"/>
      <c r="E6" s="104"/>
      <c r="F6" s="104"/>
      <c r="G6" s="104"/>
      <c r="I6" s="106"/>
      <c r="J6" s="104"/>
      <c r="K6" s="104" t="s">
        <v>193</v>
      </c>
      <c r="L6" s="104"/>
      <c r="M6" s="104"/>
      <c r="N6" s="104"/>
      <c r="O6" s="104"/>
    </row>
    <row r="7">
      <c r="A7" s="93"/>
      <c r="B7" s="106"/>
      <c r="C7" s="104"/>
      <c r="D7" s="104"/>
      <c r="E7" s="104"/>
      <c r="F7" s="104"/>
      <c r="G7" s="104"/>
      <c r="I7" s="106"/>
      <c r="J7" s="104"/>
      <c r="K7" s="103" t="s">
        <v>194</v>
      </c>
      <c r="L7" s="4"/>
      <c r="M7" s="104"/>
      <c r="N7" s="104"/>
      <c r="O7" s="104"/>
    </row>
    <row r="8">
      <c r="A8" s="84" t="s">
        <v>30</v>
      </c>
      <c r="B8" s="102">
        <v>2.0</v>
      </c>
      <c r="C8" s="103" t="s">
        <v>195</v>
      </c>
      <c r="D8" s="104"/>
      <c r="E8" s="104"/>
      <c r="F8" s="104"/>
      <c r="G8" s="104"/>
      <c r="I8" s="106"/>
      <c r="J8" s="104"/>
      <c r="K8" s="104"/>
      <c r="L8" s="104"/>
      <c r="M8" s="104"/>
      <c r="N8" s="104"/>
      <c r="O8" s="104"/>
    </row>
    <row r="9">
      <c r="A9" s="93"/>
      <c r="B9" s="106"/>
      <c r="C9" s="103" t="s">
        <v>186</v>
      </c>
      <c r="D9" s="104"/>
      <c r="E9" s="104"/>
      <c r="F9" s="104"/>
      <c r="G9" s="104"/>
      <c r="I9" s="107" t="s">
        <v>196</v>
      </c>
      <c r="J9" s="109">
        <v>2.0</v>
      </c>
      <c r="K9" s="110" t="s">
        <v>197</v>
      </c>
      <c r="L9" s="100"/>
      <c r="M9" s="100"/>
      <c r="N9" s="100"/>
      <c r="O9" s="100"/>
    </row>
    <row r="10">
      <c r="A10" s="93"/>
      <c r="B10" s="106"/>
      <c r="C10" s="103" t="s">
        <v>188</v>
      </c>
      <c r="D10" s="104"/>
      <c r="E10" s="104"/>
      <c r="F10" s="104"/>
      <c r="G10" s="104"/>
      <c r="I10" s="106"/>
      <c r="J10" s="106"/>
      <c r="K10" s="104" t="s">
        <v>198</v>
      </c>
      <c r="L10" s="104"/>
      <c r="M10" s="104"/>
      <c r="N10" s="104"/>
      <c r="O10" s="104"/>
    </row>
    <row r="11">
      <c r="A11" s="93"/>
      <c r="B11" s="106"/>
      <c r="C11" s="103" t="s">
        <v>190</v>
      </c>
      <c r="D11" s="104"/>
      <c r="E11" s="104"/>
      <c r="F11" s="104"/>
      <c r="G11" s="104"/>
      <c r="I11" s="106"/>
      <c r="J11" s="106"/>
      <c r="K11" s="103" t="s">
        <v>199</v>
      </c>
      <c r="L11" s="4"/>
      <c r="M11" s="104"/>
      <c r="N11" s="104"/>
      <c r="O11" s="104"/>
    </row>
    <row r="12">
      <c r="A12" s="93"/>
      <c r="B12" s="106"/>
      <c r="C12" s="103" t="s">
        <v>192</v>
      </c>
      <c r="D12" s="4"/>
      <c r="E12" s="104"/>
      <c r="F12" s="104"/>
      <c r="G12" s="104"/>
      <c r="I12" s="106"/>
      <c r="J12" s="106"/>
      <c r="K12" s="103" t="s">
        <v>200</v>
      </c>
      <c r="L12" s="104"/>
      <c r="M12" s="104"/>
      <c r="N12" s="104"/>
      <c r="O12" s="104"/>
    </row>
    <row r="13">
      <c r="A13" s="93"/>
      <c r="B13" s="106"/>
      <c r="C13" s="104"/>
      <c r="D13" s="104"/>
      <c r="E13" s="104"/>
      <c r="F13" s="104"/>
      <c r="G13" s="104"/>
      <c r="I13" s="106"/>
      <c r="J13" s="106"/>
      <c r="K13" s="103" t="s">
        <v>201</v>
      </c>
      <c r="L13" s="4"/>
      <c r="M13" s="104"/>
      <c r="N13" s="104"/>
      <c r="O13" s="104"/>
    </row>
    <row r="14">
      <c r="A14" s="84" t="s">
        <v>202</v>
      </c>
      <c r="B14" s="102">
        <v>3.0</v>
      </c>
      <c r="C14" s="104" t="s">
        <v>203</v>
      </c>
      <c r="D14" s="104"/>
      <c r="E14" s="104"/>
      <c r="F14" s="104"/>
      <c r="G14" s="104"/>
      <c r="I14" s="106"/>
      <c r="J14" s="108"/>
      <c r="K14" s="104"/>
      <c r="L14" s="104"/>
      <c r="M14" s="104"/>
      <c r="N14" s="104"/>
      <c r="O14" s="104"/>
    </row>
    <row r="15">
      <c r="A15" s="93"/>
      <c r="B15" s="106"/>
      <c r="C15" s="104" t="s">
        <v>198</v>
      </c>
      <c r="D15" s="104"/>
      <c r="E15" s="104"/>
      <c r="F15" s="104"/>
      <c r="G15" s="104"/>
      <c r="I15" s="107" t="s">
        <v>204</v>
      </c>
      <c r="J15" s="108">
        <v>3.0</v>
      </c>
      <c r="K15" s="103" t="s">
        <v>205</v>
      </c>
      <c r="L15" s="104"/>
      <c r="M15" s="104"/>
      <c r="N15" s="104"/>
      <c r="O15" s="104"/>
    </row>
    <row r="16">
      <c r="A16" s="93"/>
      <c r="B16" s="106"/>
      <c r="C16" s="103" t="s">
        <v>206</v>
      </c>
      <c r="D16" s="104"/>
      <c r="E16" s="104"/>
      <c r="F16" s="104"/>
      <c r="G16" s="104"/>
      <c r="I16" s="106" t="s">
        <v>17</v>
      </c>
      <c r="J16" s="104"/>
      <c r="K16" s="104" t="s">
        <v>207</v>
      </c>
      <c r="L16" s="104"/>
      <c r="M16" s="104"/>
      <c r="N16" s="104"/>
      <c r="O16" s="104"/>
    </row>
    <row r="17">
      <c r="A17" s="93"/>
      <c r="B17" s="106"/>
      <c r="C17" s="103" t="s">
        <v>208</v>
      </c>
      <c r="D17" s="104"/>
      <c r="E17" s="104"/>
      <c r="F17" s="104"/>
      <c r="G17" s="104"/>
      <c r="I17" s="106"/>
      <c r="J17" s="104"/>
      <c r="K17" s="103" t="s">
        <v>209</v>
      </c>
      <c r="L17" s="104"/>
      <c r="M17" s="104"/>
      <c r="N17" s="104"/>
      <c r="O17" s="104"/>
    </row>
    <row r="18">
      <c r="A18" s="93"/>
      <c r="B18" s="106"/>
      <c r="C18" s="103" t="s">
        <v>210</v>
      </c>
      <c r="D18" s="104"/>
      <c r="E18" s="104"/>
      <c r="F18" s="104"/>
      <c r="G18" s="104"/>
      <c r="I18" s="106"/>
      <c r="J18" s="104"/>
      <c r="K18" s="103" t="s">
        <v>211</v>
      </c>
      <c r="L18" s="104"/>
      <c r="M18" s="104"/>
      <c r="N18" s="104"/>
      <c r="O18" s="104"/>
    </row>
    <row r="19">
      <c r="A19" s="93"/>
      <c r="B19" s="106"/>
      <c r="C19" s="104"/>
      <c r="D19" s="104"/>
      <c r="E19" s="104"/>
      <c r="F19" s="104"/>
      <c r="G19" s="104"/>
      <c r="I19" s="106"/>
      <c r="J19" s="104"/>
      <c r="K19" s="103" t="s">
        <v>212</v>
      </c>
      <c r="L19" s="104"/>
      <c r="M19" s="104"/>
      <c r="N19" s="104"/>
      <c r="O19" s="104"/>
    </row>
    <row r="20">
      <c r="A20" s="84" t="s">
        <v>213</v>
      </c>
      <c r="B20" s="102">
        <v>4.0</v>
      </c>
      <c r="C20" s="104" t="s">
        <v>214</v>
      </c>
      <c r="D20" s="104"/>
      <c r="E20" s="104"/>
      <c r="F20" s="104"/>
      <c r="G20" s="104"/>
      <c r="I20" s="106"/>
      <c r="J20" s="104"/>
      <c r="K20" s="104"/>
      <c r="L20" s="104"/>
      <c r="M20" s="104"/>
      <c r="N20" s="104"/>
      <c r="O20" s="104"/>
    </row>
    <row r="21">
      <c r="A21" s="93"/>
      <c r="B21" s="106"/>
      <c r="C21" s="104" t="s">
        <v>198</v>
      </c>
      <c r="D21" s="104"/>
      <c r="E21" s="104"/>
      <c r="F21" s="104"/>
      <c r="G21" s="104"/>
      <c r="I21" s="107" t="s">
        <v>215</v>
      </c>
      <c r="J21" s="108">
        <v>4.0</v>
      </c>
      <c r="K21" s="103" t="s">
        <v>216</v>
      </c>
      <c r="L21" s="4"/>
      <c r="M21" s="4"/>
      <c r="N21" s="104"/>
      <c r="O21" s="104"/>
    </row>
    <row r="22">
      <c r="A22" s="93"/>
      <c r="B22" s="106"/>
      <c r="C22" s="103" t="s">
        <v>199</v>
      </c>
      <c r="D22" s="4"/>
      <c r="E22" s="104"/>
      <c r="F22" s="104"/>
      <c r="G22" s="104"/>
      <c r="I22" s="106"/>
      <c r="J22" s="104"/>
      <c r="K22" s="103" t="s">
        <v>217</v>
      </c>
      <c r="L22" s="4"/>
      <c r="M22" s="4"/>
      <c r="N22" s="104"/>
      <c r="O22" s="104"/>
    </row>
    <row r="23">
      <c r="A23" s="93"/>
      <c r="B23" s="106"/>
      <c r="C23" s="103" t="s">
        <v>200</v>
      </c>
      <c r="D23" s="104"/>
      <c r="E23" s="104"/>
      <c r="F23" s="104"/>
      <c r="G23" s="104"/>
      <c r="I23" s="106"/>
      <c r="J23" s="104"/>
      <c r="K23" s="104" t="s">
        <v>218</v>
      </c>
      <c r="L23" s="104"/>
      <c r="M23" s="104"/>
      <c r="N23" s="104"/>
      <c r="O23" s="104"/>
    </row>
    <row r="24">
      <c r="A24" s="93"/>
      <c r="B24" s="106"/>
      <c r="C24" s="103" t="s">
        <v>219</v>
      </c>
      <c r="D24" s="104"/>
      <c r="E24" s="104"/>
      <c r="F24" s="104"/>
      <c r="G24" s="104"/>
      <c r="I24" s="106"/>
      <c r="J24" s="104"/>
      <c r="K24" s="103" t="s">
        <v>220</v>
      </c>
      <c r="L24" s="104"/>
      <c r="M24" s="104"/>
      <c r="N24" s="104"/>
      <c r="O24" s="104"/>
    </row>
    <row r="25">
      <c r="A25" s="111"/>
      <c r="B25" s="102"/>
      <c r="C25" s="103"/>
      <c r="D25" s="104"/>
      <c r="E25" s="104"/>
      <c r="F25" s="104"/>
      <c r="G25" s="104"/>
      <c r="I25" s="106"/>
      <c r="J25" s="104"/>
      <c r="K25" s="103" t="s">
        <v>221</v>
      </c>
      <c r="L25" s="104"/>
      <c r="M25" s="104"/>
      <c r="N25" s="104"/>
      <c r="O25" s="104"/>
    </row>
    <row r="26">
      <c r="A26" s="84" t="s">
        <v>215</v>
      </c>
      <c r="B26" s="112">
        <v>5.0</v>
      </c>
      <c r="C26" s="110" t="s">
        <v>222</v>
      </c>
      <c r="D26" s="100"/>
      <c r="E26" s="100"/>
      <c r="F26" s="100"/>
      <c r="G26" s="100"/>
      <c r="I26" s="113" t="s">
        <v>46</v>
      </c>
      <c r="J26" s="109">
        <v>5.0</v>
      </c>
      <c r="K26" s="114" t="s">
        <v>223</v>
      </c>
      <c r="L26" s="115"/>
      <c r="M26" s="115"/>
      <c r="N26" s="115"/>
      <c r="O26" s="115"/>
    </row>
    <row r="27">
      <c r="A27" s="111"/>
      <c r="B27" s="106"/>
      <c r="C27" s="103" t="s">
        <v>224</v>
      </c>
      <c r="D27" s="104"/>
      <c r="E27" s="104"/>
      <c r="F27" s="104"/>
      <c r="G27" s="104"/>
      <c r="I27" s="111"/>
      <c r="J27" s="115"/>
      <c r="K27" s="114" t="s">
        <v>225</v>
      </c>
      <c r="L27" s="115"/>
      <c r="M27" s="115"/>
      <c r="N27" s="115"/>
      <c r="O27" s="115"/>
    </row>
    <row r="28">
      <c r="A28" s="111"/>
      <c r="B28" s="106"/>
      <c r="C28" s="103" t="s">
        <v>199</v>
      </c>
      <c r="D28" s="4"/>
      <c r="E28" s="104"/>
      <c r="F28" s="104"/>
      <c r="G28" s="104"/>
      <c r="I28" s="111"/>
      <c r="J28" s="115"/>
      <c r="K28" s="114" t="s">
        <v>226</v>
      </c>
      <c r="L28" s="115"/>
      <c r="M28" s="115"/>
      <c r="N28" s="115"/>
      <c r="O28" s="115"/>
    </row>
    <row r="29">
      <c r="A29" s="111"/>
      <c r="B29" s="106"/>
      <c r="C29" s="103" t="s">
        <v>227</v>
      </c>
      <c r="D29" s="104"/>
      <c r="E29" s="104"/>
      <c r="F29" s="104"/>
      <c r="G29" s="104"/>
      <c r="I29" s="111"/>
      <c r="J29" s="115"/>
      <c r="K29" s="114" t="s">
        <v>228</v>
      </c>
      <c r="L29" s="115"/>
      <c r="M29" s="115"/>
      <c r="N29" s="115"/>
      <c r="O29" s="115"/>
    </row>
    <row r="30">
      <c r="A30" s="111"/>
      <c r="B30" s="106"/>
      <c r="C30" s="103" t="s">
        <v>201</v>
      </c>
      <c r="D30" s="4"/>
      <c r="E30" s="104"/>
      <c r="F30" s="104"/>
      <c r="G30" s="104"/>
      <c r="I30" s="111"/>
      <c r="J30" s="115"/>
      <c r="K30" s="114" t="s">
        <v>229</v>
      </c>
      <c r="L30" s="115"/>
      <c r="M30" s="115"/>
      <c r="N30" s="115"/>
      <c r="O30" s="11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5" max="5" width="17.13"/>
    <col customWidth="1" min="6" max="6" width="14.75"/>
    <col customWidth="1" min="11" max="11" width="16.13"/>
    <col customWidth="1" min="14" max="14" width="13.88"/>
    <col customWidth="1" min="15" max="15" width="14.25"/>
    <col customWidth="1" min="16" max="16" width="24.0"/>
  </cols>
  <sheetData>
    <row r="1">
      <c r="A1" s="116" t="s">
        <v>17</v>
      </c>
      <c r="B1" s="117"/>
      <c r="C1" s="117"/>
      <c r="D1" s="117"/>
      <c r="E1" s="118"/>
      <c r="F1" s="118"/>
      <c r="G1" s="119"/>
      <c r="H1" s="120"/>
      <c r="I1" s="121"/>
      <c r="J1" s="1"/>
      <c r="K1" s="1"/>
      <c r="L1" s="1"/>
      <c r="M1" s="1"/>
      <c r="N1" s="1"/>
      <c r="O1" s="1"/>
      <c r="P1" s="1"/>
    </row>
    <row r="2">
      <c r="A2" s="106" t="s">
        <v>230</v>
      </c>
      <c r="B2" s="4" t="s">
        <v>231</v>
      </c>
      <c r="C2" s="4"/>
      <c r="D2" s="4"/>
      <c r="E2" s="4"/>
      <c r="F2" s="4"/>
      <c r="G2" s="4"/>
      <c r="H2" s="122"/>
      <c r="I2" s="123" t="s">
        <v>232</v>
      </c>
      <c r="J2" s="124" t="s">
        <v>233</v>
      </c>
      <c r="K2" s="125" t="s">
        <v>234</v>
      </c>
      <c r="L2" s="1"/>
      <c r="M2" s="1"/>
      <c r="N2" s="1"/>
      <c r="O2" s="1"/>
      <c r="P2" s="1"/>
    </row>
    <row r="3">
      <c r="A3" s="106" t="s">
        <v>235</v>
      </c>
      <c r="B3" s="103" t="s">
        <v>236</v>
      </c>
      <c r="C3" s="4"/>
      <c r="D3" s="4"/>
      <c r="E3" s="4"/>
      <c r="F3" s="4"/>
      <c r="G3" s="4"/>
      <c r="H3" s="122"/>
      <c r="I3" s="123" t="s">
        <v>237</v>
      </c>
      <c r="J3" s="124" t="s">
        <v>238</v>
      </c>
      <c r="K3" s="125" t="s">
        <v>239</v>
      </c>
      <c r="L3" s="1"/>
      <c r="M3" s="1"/>
      <c r="N3" s="1"/>
      <c r="O3" s="1"/>
      <c r="P3" s="1"/>
    </row>
    <row r="4">
      <c r="A4" s="106" t="s">
        <v>240</v>
      </c>
      <c r="B4" s="103" t="s">
        <v>241</v>
      </c>
      <c r="C4" s="4"/>
      <c r="D4" s="4"/>
      <c r="E4" s="4"/>
      <c r="F4" s="4"/>
      <c r="G4" s="4"/>
      <c r="H4" s="122"/>
      <c r="I4" s="126" t="s">
        <v>242</v>
      </c>
      <c r="J4" s="127" t="s">
        <v>243</v>
      </c>
      <c r="K4" s="128" t="s">
        <v>244</v>
      </c>
      <c r="L4" s="1"/>
      <c r="M4" s="1"/>
      <c r="N4" s="1"/>
      <c r="O4" s="1"/>
      <c r="P4" s="1"/>
    </row>
    <row r="5">
      <c r="A5" s="106" t="s">
        <v>245</v>
      </c>
      <c r="B5" s="129" t="s">
        <v>246</v>
      </c>
      <c r="C5" s="4"/>
      <c r="D5" s="4"/>
      <c r="E5" s="4"/>
      <c r="F5" s="4"/>
      <c r="G5" s="4"/>
      <c r="H5" s="122"/>
      <c r="I5" s="126" t="s">
        <v>247</v>
      </c>
      <c r="J5" s="127" t="s">
        <v>248</v>
      </c>
      <c r="K5" s="128" t="s">
        <v>249</v>
      </c>
      <c r="L5" s="1"/>
      <c r="M5" s="1"/>
      <c r="N5" s="1"/>
      <c r="O5" s="1"/>
      <c r="P5" s="1"/>
    </row>
    <row r="6">
      <c r="A6" s="106" t="s">
        <v>250</v>
      </c>
      <c r="B6" s="103" t="s">
        <v>251</v>
      </c>
      <c r="C6" s="4"/>
      <c r="D6" s="4"/>
      <c r="E6" s="4"/>
      <c r="F6" s="4"/>
      <c r="G6" s="4"/>
      <c r="H6" s="122"/>
      <c r="I6" s="126" t="s">
        <v>252</v>
      </c>
      <c r="J6" s="127" t="s">
        <v>253</v>
      </c>
      <c r="K6" s="128" t="s">
        <v>254</v>
      </c>
      <c r="L6" s="1"/>
      <c r="M6" s="1"/>
      <c r="N6" s="1"/>
      <c r="O6" s="1"/>
      <c r="P6" s="1"/>
    </row>
    <row r="7">
      <c r="A7" s="106" t="s">
        <v>255</v>
      </c>
      <c r="B7" s="4" t="s">
        <v>256</v>
      </c>
      <c r="C7" s="4"/>
      <c r="D7" s="4"/>
      <c r="E7" s="4"/>
      <c r="F7" s="4"/>
      <c r="G7" s="4"/>
      <c r="H7" s="122"/>
      <c r="I7" s="123" t="s">
        <v>257</v>
      </c>
      <c r="J7" s="124" t="s">
        <v>258</v>
      </c>
      <c r="K7" s="128" t="s">
        <v>259</v>
      </c>
      <c r="L7" s="1"/>
      <c r="M7" s="1"/>
      <c r="N7" s="1"/>
      <c r="O7" s="1"/>
      <c r="P7" s="1"/>
    </row>
    <row r="8">
      <c r="A8" s="106" t="s">
        <v>260</v>
      </c>
      <c r="B8" s="103" t="s">
        <v>261</v>
      </c>
      <c r="C8" s="4"/>
      <c r="D8" s="4"/>
      <c r="E8" s="4"/>
      <c r="F8" s="4"/>
      <c r="G8" s="4"/>
      <c r="H8" s="122"/>
      <c r="I8" s="126" t="s">
        <v>262</v>
      </c>
      <c r="J8" s="127" t="s">
        <v>263</v>
      </c>
      <c r="K8" s="128" t="s">
        <v>264</v>
      </c>
      <c r="L8" s="1"/>
      <c r="M8" s="1"/>
      <c r="N8" s="1"/>
      <c r="O8" s="1"/>
      <c r="P8" s="1"/>
    </row>
    <row r="9">
      <c r="A9" s="130"/>
      <c r="B9" s="131" t="s">
        <v>265</v>
      </c>
      <c r="C9" s="4"/>
      <c r="D9" s="4"/>
      <c r="E9" s="4"/>
      <c r="F9" s="4"/>
      <c r="G9" s="4"/>
      <c r="H9" s="132"/>
      <c r="I9" s="4"/>
      <c r="J9" s="104"/>
      <c r="K9" s="1"/>
      <c r="L9" s="1"/>
      <c r="M9" s="1"/>
      <c r="N9" s="1"/>
      <c r="O9" s="1"/>
      <c r="P9" s="1"/>
    </row>
    <row r="10">
      <c r="A10" s="133"/>
      <c r="B10" s="133"/>
      <c r="G10" s="1"/>
      <c r="H10" s="134"/>
      <c r="I10" s="121"/>
      <c r="J10" s="1"/>
      <c r="K10" s="1"/>
      <c r="L10" s="1"/>
      <c r="M10" s="1"/>
      <c r="N10" s="1"/>
      <c r="O10" s="1"/>
      <c r="P10" s="1"/>
    </row>
    <row r="11">
      <c r="A11" s="135"/>
      <c r="B11" s="136"/>
      <c r="C11" s="136"/>
      <c r="D11" s="136"/>
      <c r="F11" s="1"/>
      <c r="G11" s="1"/>
      <c r="H11" s="134"/>
      <c r="I11" s="121"/>
      <c r="J11" s="1"/>
      <c r="K11" s="1"/>
      <c r="L11" s="1"/>
      <c r="M11" s="1"/>
      <c r="N11" s="1"/>
      <c r="O11" s="1"/>
      <c r="P11" s="1"/>
    </row>
    <row r="12">
      <c r="A12" s="137"/>
      <c r="B12" s="137"/>
      <c r="C12" s="137"/>
      <c r="D12" s="138"/>
      <c r="E12" s="139"/>
      <c r="F12" s="140"/>
      <c r="G12" s="141"/>
      <c r="H12" s="142" t="s">
        <v>266</v>
      </c>
      <c r="I12" s="140"/>
      <c r="J12" s="140"/>
      <c r="K12" s="140"/>
      <c r="L12" s="140"/>
      <c r="M12" s="140"/>
      <c r="N12" s="140"/>
      <c r="O12" s="140"/>
    </row>
    <row r="13">
      <c r="A13" s="78"/>
      <c r="B13" s="78"/>
      <c r="C13" s="78"/>
      <c r="D13" s="111"/>
      <c r="E13" s="115"/>
      <c r="F13" s="104"/>
      <c r="G13" s="104"/>
      <c r="H13" s="122"/>
      <c r="I13" s="104"/>
      <c r="J13" s="143"/>
      <c r="K13" s="144" t="s">
        <v>17</v>
      </c>
      <c r="L13" s="104"/>
      <c r="M13" s="145" t="s">
        <v>17</v>
      </c>
      <c r="N13" s="104"/>
      <c r="O13" s="104"/>
    </row>
    <row r="14">
      <c r="A14" s="78" t="s">
        <v>59</v>
      </c>
      <c r="B14" s="78" t="s">
        <v>60</v>
      </c>
      <c r="C14" s="78"/>
      <c r="D14" s="111"/>
      <c r="E14" s="99" t="s">
        <v>63</v>
      </c>
      <c r="F14" s="146" t="s">
        <v>64</v>
      </c>
      <c r="G14" s="146" t="s">
        <v>71</v>
      </c>
      <c r="H14" s="147" t="s">
        <v>267</v>
      </c>
      <c r="I14" s="148" t="s">
        <v>268</v>
      </c>
      <c r="J14" s="148" t="s">
        <v>269</v>
      </c>
      <c r="K14" s="148" t="s">
        <v>245</v>
      </c>
      <c r="L14" s="148" t="s">
        <v>270</v>
      </c>
      <c r="M14" s="148" t="s">
        <v>271</v>
      </c>
      <c r="N14" s="149" t="s">
        <v>260</v>
      </c>
      <c r="O14" s="149" t="s">
        <v>272</v>
      </c>
    </row>
    <row r="15">
      <c r="A15" s="78" t="s">
        <v>273</v>
      </c>
      <c r="B15" s="78" t="s">
        <v>274</v>
      </c>
      <c r="C15" s="78" t="s">
        <v>275</v>
      </c>
      <c r="D15" s="111"/>
      <c r="E15" s="150">
        <f>IFERROR(__xludf.DUMMYFUNCTION("googlefinance(B15,""price"")"),205.94)</f>
        <v>205.94</v>
      </c>
      <c r="F15" s="84" t="s">
        <v>276</v>
      </c>
      <c r="G15" s="84">
        <v>9.85</v>
      </c>
      <c r="H15" s="151">
        <v>1.0</v>
      </c>
      <c r="I15" s="152">
        <v>0.0115</v>
      </c>
      <c r="J15" s="153">
        <v>0.1649</v>
      </c>
      <c r="K15" s="153">
        <v>0.075</v>
      </c>
      <c r="L15" s="154">
        <v>1.19</v>
      </c>
      <c r="M15" s="155">
        <v>18.25</v>
      </c>
      <c r="N15" s="153">
        <v>-0.0481</v>
      </c>
      <c r="O15" s="83" t="s">
        <v>277</v>
      </c>
      <c r="Q15" s="75" t="s">
        <v>278</v>
      </c>
    </row>
    <row r="16">
      <c r="A16" s="156" t="s">
        <v>273</v>
      </c>
      <c r="B16" s="156" t="s">
        <v>279</v>
      </c>
      <c r="C16" s="156" t="s">
        <v>280</v>
      </c>
      <c r="D16" s="111"/>
      <c r="E16" s="150">
        <f>IFERROR(__xludf.DUMMYFUNCTION("googlefinance(B16,""price"")"),321.97)</f>
        <v>321.97</v>
      </c>
      <c r="F16" s="84" t="s">
        <v>281</v>
      </c>
      <c r="G16" s="84">
        <v>12.11</v>
      </c>
      <c r="H16" s="157">
        <v>11.0</v>
      </c>
      <c r="I16" s="158">
        <v>0.0351</v>
      </c>
      <c r="J16" s="158">
        <v>0.443</v>
      </c>
      <c r="K16" s="152">
        <v>0.0412</v>
      </c>
      <c r="L16" s="155">
        <v>0.63</v>
      </c>
      <c r="M16" s="155">
        <v>19.8</v>
      </c>
      <c r="N16" s="153">
        <v>-0.0593</v>
      </c>
      <c r="O16" s="83" t="s">
        <v>282</v>
      </c>
    </row>
    <row r="17">
      <c r="A17" s="78" t="s">
        <v>283</v>
      </c>
      <c r="B17" s="78" t="s">
        <v>16</v>
      </c>
      <c r="C17" s="78" t="s">
        <v>284</v>
      </c>
      <c r="D17" s="111"/>
      <c r="E17" s="150">
        <f>IFERROR(__xludf.DUMMYFUNCTION("googlefinance(B17,""price"")"),187.68)</f>
        <v>187.68</v>
      </c>
      <c r="F17" s="159">
        <v>2424.0</v>
      </c>
      <c r="G17" s="84">
        <v>5.89</v>
      </c>
      <c r="H17" s="157">
        <v>11.0</v>
      </c>
      <c r="I17" s="160">
        <v>0.006</v>
      </c>
      <c r="J17" s="161">
        <v>0.1393</v>
      </c>
      <c r="K17" s="161">
        <v>0.0813</v>
      </c>
      <c r="L17" s="162">
        <v>1.31</v>
      </c>
      <c r="M17" s="113">
        <v>26.14</v>
      </c>
      <c r="N17" s="161">
        <v>-0.032</v>
      </c>
      <c r="O17" s="83" t="s">
        <v>285</v>
      </c>
    </row>
    <row r="18">
      <c r="A18" s="156" t="s">
        <v>286</v>
      </c>
      <c r="B18" s="156" t="s">
        <v>287</v>
      </c>
      <c r="C18" s="156" t="s">
        <v>288</v>
      </c>
      <c r="D18" s="111"/>
      <c r="E18" s="150">
        <f>IFERROR(__xludf.DUMMYFUNCTION("googlefinance(B18,""price"")"),206.63)</f>
        <v>206.63</v>
      </c>
      <c r="F18" s="88">
        <v>129.94</v>
      </c>
      <c r="G18" s="87">
        <v>-8.28</v>
      </c>
      <c r="H18" s="163" t="s">
        <v>289</v>
      </c>
      <c r="I18" s="164">
        <v>0.0</v>
      </c>
      <c r="J18" s="165" t="s">
        <v>290</v>
      </c>
      <c r="K18" s="166">
        <v>0.04</v>
      </c>
      <c r="L18" s="164">
        <v>1.43</v>
      </c>
      <c r="M18" s="165" t="s">
        <v>290</v>
      </c>
      <c r="N18" s="167">
        <v>-0.0124</v>
      </c>
      <c r="O18" s="83" t="s">
        <v>291</v>
      </c>
    </row>
    <row r="19">
      <c r="A19" s="78" t="s">
        <v>286</v>
      </c>
      <c r="B19" s="78" t="s">
        <v>292</v>
      </c>
      <c r="C19" s="78" t="s">
        <v>293</v>
      </c>
      <c r="D19" s="111"/>
      <c r="E19" s="150">
        <f>IFERROR(__xludf.DUMMYFUNCTION("googlefinance(B19,""price"")"),321.4)</f>
        <v>321.4</v>
      </c>
      <c r="F19" s="84">
        <v>127.76</v>
      </c>
      <c r="G19" s="84">
        <v>12.64</v>
      </c>
      <c r="H19" s="168">
        <v>27.0</v>
      </c>
      <c r="I19" s="169">
        <v>0.0196</v>
      </c>
      <c r="J19" s="167">
        <v>0.3794</v>
      </c>
      <c r="K19" s="167">
        <v>0.1322</v>
      </c>
      <c r="L19" s="113">
        <v>1.09</v>
      </c>
      <c r="M19" s="170">
        <f>E19/G19</f>
        <v>25.42721519</v>
      </c>
      <c r="N19" s="169">
        <v>0.033</v>
      </c>
      <c r="O19" s="83" t="s">
        <v>294</v>
      </c>
    </row>
    <row r="20">
      <c r="A20" s="156" t="s">
        <v>48</v>
      </c>
      <c r="B20" s="156" t="s">
        <v>295</v>
      </c>
      <c r="C20" s="156" t="s">
        <v>296</v>
      </c>
      <c r="D20" s="111"/>
      <c r="E20" s="150">
        <f>IFERROR(__xludf.DUMMYFUNCTION("googlefinance(B20,""price"")"),49.51)</f>
        <v>49.51</v>
      </c>
      <c r="F20" s="94">
        <v>195.83</v>
      </c>
      <c r="G20" s="84">
        <v>2.77</v>
      </c>
      <c r="H20" s="157">
        <v>12.0</v>
      </c>
      <c r="I20" s="158">
        <v>0.0318</v>
      </c>
      <c r="J20" s="165">
        <v>39.67</v>
      </c>
      <c r="K20" s="158">
        <v>0.0678</v>
      </c>
      <c r="L20" s="113">
        <v>0.99</v>
      </c>
      <c r="M20" s="165">
        <v>17.1</v>
      </c>
      <c r="N20" s="167">
        <v>-0.0299</v>
      </c>
      <c r="O20" s="83" t="s">
        <v>297</v>
      </c>
      <c r="P20" s="75" t="s">
        <v>17</v>
      </c>
    </row>
    <row r="21">
      <c r="A21" s="78" t="s">
        <v>298</v>
      </c>
      <c r="B21" s="78" t="s">
        <v>299</v>
      </c>
      <c r="C21" s="78" t="s">
        <v>300</v>
      </c>
      <c r="D21" s="111"/>
      <c r="E21" s="150">
        <f>IFERROR(__xludf.DUMMYFUNCTION("googlefinance(B21,""price"")"),152.33)</f>
        <v>152.33</v>
      </c>
      <c r="F21" s="87">
        <v>333.398</v>
      </c>
      <c r="G21" s="84">
        <v>18.28</v>
      </c>
      <c r="H21" s="168">
        <v>37.0</v>
      </c>
      <c r="I21" s="158">
        <v>0.0334</v>
      </c>
      <c r="J21" s="167">
        <v>0.4176</v>
      </c>
      <c r="K21" s="160">
        <v>-0.021</v>
      </c>
      <c r="L21" s="162">
        <v>1.15</v>
      </c>
      <c r="M21" s="165">
        <v>9.23</v>
      </c>
      <c r="N21" s="160">
        <v>0.0065</v>
      </c>
      <c r="O21" s="83" t="s">
        <v>301</v>
      </c>
    </row>
    <row r="22">
      <c r="A22" s="156" t="s">
        <v>298</v>
      </c>
      <c r="B22" s="156" t="s">
        <v>302</v>
      </c>
      <c r="C22" s="156" t="s">
        <v>303</v>
      </c>
      <c r="D22" s="111"/>
      <c r="E22" s="150">
        <f>IFERROR(__xludf.DUMMYFUNCTION("googlefinance(B22,""price"")"),383.02)</f>
        <v>383.02</v>
      </c>
      <c r="F22" s="84">
        <v>124.091</v>
      </c>
      <c r="G22" s="84">
        <v>30.06</v>
      </c>
      <c r="H22" s="171">
        <v>2.0</v>
      </c>
      <c r="I22" s="158">
        <v>0.0272</v>
      </c>
      <c r="J22" s="167">
        <v>0.2451</v>
      </c>
      <c r="K22" s="160">
        <v>-0.0169</v>
      </c>
      <c r="L22" s="162">
        <v>1.43</v>
      </c>
      <c r="M22" s="165">
        <v>12.24</v>
      </c>
      <c r="N22" s="160">
        <v>0.0106</v>
      </c>
      <c r="O22" s="83" t="s">
        <v>304</v>
      </c>
    </row>
    <row r="23">
      <c r="A23" s="78" t="s">
        <v>184</v>
      </c>
      <c r="B23" s="78" t="s">
        <v>305</v>
      </c>
      <c r="C23" s="78" t="s">
        <v>306</v>
      </c>
      <c r="D23" s="111"/>
      <c r="E23" s="150">
        <f>IFERROR(__xludf.DUMMYFUNCTION("googlefinance(B23,""price"")"),355.14)</f>
        <v>355.14</v>
      </c>
      <c r="F23" s="172" t="s">
        <v>307</v>
      </c>
      <c r="G23" s="172">
        <v>16.59</v>
      </c>
      <c r="H23" s="157">
        <v>13.0</v>
      </c>
      <c r="I23" s="158">
        <v>0.024</v>
      </c>
      <c r="J23" s="167">
        <v>0.458</v>
      </c>
      <c r="K23" s="160">
        <v>0.0495</v>
      </c>
      <c r="L23" s="113">
        <v>0.96</v>
      </c>
      <c r="M23" s="165">
        <v>19.08</v>
      </c>
      <c r="N23" s="160">
        <v>0.0285</v>
      </c>
      <c r="O23" s="83" t="s">
        <v>308</v>
      </c>
    </row>
    <row r="24">
      <c r="A24" s="156" t="s">
        <v>309</v>
      </c>
      <c r="B24" s="156" t="s">
        <v>310</v>
      </c>
      <c r="C24" s="156" t="s">
        <v>311</v>
      </c>
      <c r="D24" s="111"/>
      <c r="E24" s="150">
        <f>IFERROR(__xludf.DUMMYFUNCTION("googlefinance(B24,""price"")"),193.01)</f>
        <v>193.01</v>
      </c>
      <c r="F24" s="84">
        <v>134.78</v>
      </c>
      <c r="G24" s="84">
        <v>7.27</v>
      </c>
      <c r="H24" s="157">
        <v>12.0</v>
      </c>
      <c r="I24" s="158">
        <v>0.0206</v>
      </c>
      <c r="J24" s="173">
        <f t="shared" ref="J24:J25" si="1">I24/G24*100</f>
        <v>0.2833562586</v>
      </c>
      <c r="K24" s="167">
        <v>0.079</v>
      </c>
      <c r="L24" s="113">
        <v>1.08</v>
      </c>
      <c r="M24" s="113">
        <v>27.57</v>
      </c>
      <c r="N24" s="173">
        <f>-3.41%</f>
        <v>-0.0341</v>
      </c>
      <c r="O24" s="83" t="s">
        <v>297</v>
      </c>
    </row>
    <row r="25">
      <c r="A25" s="78" t="s">
        <v>309</v>
      </c>
      <c r="B25" s="78" t="s">
        <v>312</v>
      </c>
      <c r="C25" s="78" t="s">
        <v>313</v>
      </c>
      <c r="D25" s="111"/>
      <c r="E25" s="150">
        <f>IFERROR(__xludf.DUMMYFUNCTION("googlefinance(B25,""price"")"),183.42)</f>
        <v>183.42</v>
      </c>
      <c r="F25" s="84">
        <v>121.541</v>
      </c>
      <c r="G25" s="84">
        <v>6.09</v>
      </c>
      <c r="H25" s="168">
        <v>29.0</v>
      </c>
      <c r="I25" s="167">
        <v>0.0487</v>
      </c>
      <c r="J25" s="174">
        <f t="shared" si="1"/>
        <v>0.7996715928</v>
      </c>
      <c r="K25" s="158">
        <v>0.0667</v>
      </c>
      <c r="L25" s="165">
        <v>0.85</v>
      </c>
      <c r="M25" s="162">
        <v>68.04</v>
      </c>
      <c r="N25" s="175">
        <v>0.0124</v>
      </c>
      <c r="O25" s="83" t="s">
        <v>314</v>
      </c>
    </row>
    <row r="26">
      <c r="A26" s="78" t="s">
        <v>315</v>
      </c>
      <c r="B26" s="78" t="s">
        <v>316</v>
      </c>
      <c r="C26" s="78" t="s">
        <v>317</v>
      </c>
      <c r="D26" s="111"/>
      <c r="E26" s="150">
        <f>IFERROR(__xludf.DUMMYFUNCTION("googlefinance(B26,""price"")"),42.77)</f>
        <v>42.77</v>
      </c>
      <c r="F26" s="88">
        <v>118.19</v>
      </c>
      <c r="G26" s="84">
        <v>1.95</v>
      </c>
      <c r="H26" s="157">
        <v>8.0</v>
      </c>
      <c r="I26" s="167">
        <v>0.051</v>
      </c>
      <c r="J26" s="158">
        <v>0.743</v>
      </c>
      <c r="K26" s="83" t="s">
        <v>96</v>
      </c>
      <c r="L26" s="165">
        <v>0.79</v>
      </c>
      <c r="M26" s="165">
        <v>14.68</v>
      </c>
      <c r="N26" s="174">
        <f>(4.14-4.09)/4.14</f>
        <v>0.01207729469</v>
      </c>
      <c r="O26" s="83" t="s">
        <v>318</v>
      </c>
    </row>
    <row r="27">
      <c r="A27" s="78" t="s">
        <v>319</v>
      </c>
      <c r="B27" s="78" t="s">
        <v>320</v>
      </c>
      <c r="C27" s="78" t="s">
        <v>321</v>
      </c>
      <c r="D27" s="111"/>
      <c r="E27" s="150">
        <f>IFERROR(__xludf.DUMMYFUNCTION("googlefinance(B27,""price"")"),155.8)</f>
        <v>155.8</v>
      </c>
      <c r="F27" s="84" t="s">
        <v>322</v>
      </c>
      <c r="G27" s="84">
        <v>6.73</v>
      </c>
      <c r="H27" s="176">
        <v>61.0</v>
      </c>
      <c r="I27" s="158">
        <v>0.0279</v>
      </c>
      <c r="J27" s="158">
        <v>0.615</v>
      </c>
      <c r="K27" s="160">
        <v>0.0389</v>
      </c>
      <c r="L27" s="155">
        <v>0.54</v>
      </c>
      <c r="M27" s="113">
        <v>24.07</v>
      </c>
      <c r="N27" s="160">
        <v>0.0089</v>
      </c>
      <c r="O27" s="83" t="s">
        <v>323</v>
      </c>
    </row>
    <row r="28">
      <c r="A28" s="156" t="s">
        <v>319</v>
      </c>
      <c r="B28" s="156" t="s">
        <v>324</v>
      </c>
      <c r="C28" s="156" t="s">
        <v>325</v>
      </c>
      <c r="D28" s="111"/>
      <c r="E28" s="150">
        <f>IFERROR(__xludf.DUMMYFUNCTION("googlefinance(B28,""price"")"),60.04)</f>
        <v>60.04</v>
      </c>
      <c r="F28" s="84" t="s">
        <v>326</v>
      </c>
      <c r="G28" s="84">
        <v>2.28</v>
      </c>
      <c r="H28" s="176">
        <v>61.0</v>
      </c>
      <c r="I28" s="158">
        <v>0.0295</v>
      </c>
      <c r="J28" s="177">
        <v>0.75</v>
      </c>
      <c r="K28" s="158">
        <v>0.0545</v>
      </c>
      <c r="L28" s="155">
        <v>0.56</v>
      </c>
      <c r="M28" s="113">
        <v>26.48</v>
      </c>
      <c r="N28" s="160">
        <v>5.0E-4</v>
      </c>
      <c r="O28" s="83" t="s">
        <v>323</v>
      </c>
    </row>
    <row r="29">
      <c r="A29" s="78" t="s">
        <v>20</v>
      </c>
      <c r="B29" s="178" t="s">
        <v>327</v>
      </c>
      <c r="C29" s="78" t="s">
        <v>328</v>
      </c>
      <c r="D29" s="111"/>
      <c r="E29" s="150">
        <f>IFERROR(__xludf.DUMMYFUNCTION("googlefinance(B29,""price"")"),174.5)</f>
        <v>174.5</v>
      </c>
      <c r="F29" s="84" t="s">
        <v>329</v>
      </c>
      <c r="G29" s="84">
        <v>13.66</v>
      </c>
      <c r="H29" s="168">
        <v>27.0</v>
      </c>
      <c r="I29" s="113">
        <v>2.79</v>
      </c>
      <c r="J29" s="165">
        <v>29.28</v>
      </c>
      <c r="K29" s="162">
        <v>-0.99</v>
      </c>
      <c r="L29" s="162">
        <v>1.12</v>
      </c>
      <c r="M29" s="165">
        <v>11.85</v>
      </c>
      <c r="N29" s="165">
        <v>-0.197</v>
      </c>
      <c r="O29" s="83" t="s">
        <v>330</v>
      </c>
    </row>
    <row r="30">
      <c r="A30" s="156" t="s">
        <v>331</v>
      </c>
      <c r="B30" s="178" t="s">
        <v>332</v>
      </c>
      <c r="C30" s="156" t="s">
        <v>333</v>
      </c>
      <c r="D30" s="111"/>
      <c r="E30" s="150">
        <f>IFERROR(__xludf.DUMMYFUNCTION("googlefinance(B30,""price"")"),285.97)</f>
        <v>285.97</v>
      </c>
      <c r="F30" s="84">
        <v>195.34</v>
      </c>
      <c r="G30" s="84">
        <v>8.33</v>
      </c>
      <c r="H30" s="165">
        <v>30.0</v>
      </c>
      <c r="I30" s="158">
        <v>0.0228</v>
      </c>
      <c r="J30" s="158">
        <v>0.5196</v>
      </c>
      <c r="K30" s="167">
        <v>0.0807</v>
      </c>
      <c r="L30" s="165">
        <v>0.64</v>
      </c>
      <c r="M30" s="113">
        <v>32.06</v>
      </c>
      <c r="N30" s="167">
        <v>-0.014</v>
      </c>
      <c r="O30" s="83" t="s">
        <v>334</v>
      </c>
    </row>
    <row r="31">
      <c r="A31" s="78" t="s">
        <v>196</v>
      </c>
      <c r="B31" s="178" t="s">
        <v>335</v>
      </c>
      <c r="C31" s="78" t="s">
        <v>336</v>
      </c>
      <c r="D31" s="111"/>
      <c r="E31" s="150">
        <f>IFERROR(__xludf.DUMMYFUNCTION("googlefinance(B31,""price"")"),92.73)</f>
        <v>92.73</v>
      </c>
      <c r="F31" s="84" t="s">
        <v>337</v>
      </c>
      <c r="G31" s="84">
        <v>10.14</v>
      </c>
      <c r="H31" s="168">
        <v>66.0</v>
      </c>
      <c r="I31" s="167">
        <v>0.0527</v>
      </c>
      <c r="J31" s="173">
        <f>I31/G31*100</f>
        <v>0.5197238659</v>
      </c>
      <c r="K31" s="160">
        <v>-0.0028</v>
      </c>
      <c r="L31" s="113">
        <v>0.96</v>
      </c>
      <c r="M31" s="165">
        <v>11.13</v>
      </c>
      <c r="N31" s="160">
        <v>0.0302</v>
      </c>
      <c r="O31" s="83" t="s">
        <v>330</v>
      </c>
    </row>
    <row r="32">
      <c r="A32" s="156" t="s">
        <v>196</v>
      </c>
      <c r="B32" s="156" t="s">
        <v>338</v>
      </c>
      <c r="C32" s="156" t="s">
        <v>339</v>
      </c>
      <c r="D32" s="111"/>
      <c r="E32" s="150">
        <f>IFERROR(__xludf.DUMMYFUNCTION("googlefinance(B32,""price"")"),126.18)</f>
        <v>126.18</v>
      </c>
      <c r="F32" s="84" t="s">
        <v>340</v>
      </c>
      <c r="G32" s="84">
        <v>5.71</v>
      </c>
      <c r="H32" s="157">
        <v>12.0</v>
      </c>
      <c r="I32" s="158">
        <v>0.0269</v>
      </c>
      <c r="J32" s="179">
        <v>0.42</v>
      </c>
      <c r="K32" s="167">
        <v>0.0945</v>
      </c>
      <c r="L32" s="162">
        <v>0.33</v>
      </c>
      <c r="M32" s="165">
        <v>18.68</v>
      </c>
      <c r="N32" s="160">
        <v>0.0039</v>
      </c>
      <c r="O32" s="83" t="s">
        <v>285</v>
      </c>
    </row>
    <row r="33">
      <c r="A33" s="78" t="s">
        <v>28</v>
      </c>
      <c r="B33" s="78" t="s">
        <v>341</v>
      </c>
      <c r="C33" s="78" t="s">
        <v>342</v>
      </c>
      <c r="D33" s="111"/>
      <c r="E33" s="150">
        <f>IFERROR(__xludf.DUMMYFUNCTION("googlefinance(B33,""price"")"),405.65)</f>
        <v>405.65</v>
      </c>
      <c r="F33" s="84" t="s">
        <v>343</v>
      </c>
      <c r="G33" s="84">
        <v>9.0</v>
      </c>
      <c r="H33" s="176">
        <v>20.0</v>
      </c>
      <c r="I33" s="160">
        <v>0.01</v>
      </c>
      <c r="J33" s="167">
        <v>0.252</v>
      </c>
      <c r="K33" s="167">
        <v>0.1177</v>
      </c>
      <c r="L33" s="113">
        <v>0.92</v>
      </c>
      <c r="M33" s="113">
        <v>30.24</v>
      </c>
      <c r="N33" s="158">
        <v>-0.0089</v>
      </c>
      <c r="O33" s="83" t="s">
        <v>282</v>
      </c>
    </row>
    <row r="34">
      <c r="A34" s="156" t="s">
        <v>28</v>
      </c>
      <c r="B34" s="156" t="s">
        <v>344</v>
      </c>
      <c r="C34" s="156" t="s">
        <v>345</v>
      </c>
      <c r="D34" s="111"/>
      <c r="E34" s="150">
        <f>IFERROR(__xludf.DUMMYFUNCTION("googlefinance(B34,""price"")"),99.68)</f>
        <v>99.68</v>
      </c>
      <c r="F34" s="84" t="s">
        <v>346</v>
      </c>
      <c r="G34" s="84">
        <v>3.54</v>
      </c>
      <c r="H34" s="168">
        <v>21.0</v>
      </c>
      <c r="I34" s="160">
        <v>0.0108</v>
      </c>
      <c r="J34" s="179">
        <v>0.34</v>
      </c>
      <c r="K34" s="158">
        <v>0.0677</v>
      </c>
      <c r="L34" s="113">
        <v>1.1</v>
      </c>
      <c r="M34" s="62">
        <v>35.64</v>
      </c>
      <c r="N34" s="160">
        <v>9.0E-4</v>
      </c>
      <c r="O34" s="83" t="s">
        <v>323</v>
      </c>
    </row>
    <row r="35">
      <c r="A35" s="78" t="s">
        <v>347</v>
      </c>
      <c r="B35" s="78" t="s">
        <v>348</v>
      </c>
      <c r="C35" s="78" t="s">
        <v>349</v>
      </c>
      <c r="D35" s="111"/>
      <c r="E35" s="150">
        <f>IFERROR(__xludf.DUMMYFUNCTION("googlefinance(B35,""price"")"),158.21)</f>
        <v>158.21</v>
      </c>
      <c r="F35" s="84" t="s">
        <v>350</v>
      </c>
      <c r="G35" s="180">
        <v>5.7</v>
      </c>
      <c r="H35" s="168">
        <v>67.0</v>
      </c>
      <c r="I35" s="158">
        <v>0.0264</v>
      </c>
      <c r="J35" s="158">
        <v>0.615</v>
      </c>
      <c r="K35" s="158">
        <v>0.0507</v>
      </c>
      <c r="L35" s="165">
        <v>0.42</v>
      </c>
      <c r="M35" s="113">
        <v>24.28</v>
      </c>
      <c r="N35" s="167">
        <v>-0.0248</v>
      </c>
      <c r="O35" s="83" t="s">
        <v>297</v>
      </c>
    </row>
    <row r="36">
      <c r="A36" s="156" t="s">
        <v>351</v>
      </c>
      <c r="B36" s="178" t="s">
        <v>352</v>
      </c>
      <c r="C36" s="156" t="s">
        <v>353</v>
      </c>
      <c r="D36" s="111"/>
      <c r="E36" s="150">
        <f>IFERROR(__xludf.DUMMYFUNCTION("googlefinance(B36,""price"")"),213.08)</f>
        <v>213.08</v>
      </c>
      <c r="F36" s="84" t="s">
        <v>354</v>
      </c>
      <c r="G36" s="84">
        <v>11.77</v>
      </c>
      <c r="H36" s="168">
        <v>20.0</v>
      </c>
      <c r="I36" s="160">
        <v>0.0199</v>
      </c>
      <c r="J36" s="167">
        <v>0.2222</v>
      </c>
      <c r="K36" s="167">
        <v>0.0883</v>
      </c>
      <c r="L36" s="165">
        <v>0.62</v>
      </c>
      <c r="M36" s="165">
        <v>15.85</v>
      </c>
      <c r="N36" s="167">
        <v>-0.0578</v>
      </c>
      <c r="O36" s="83" t="s">
        <v>355</v>
      </c>
    </row>
    <row r="37">
      <c r="A37" s="78" t="s">
        <v>351</v>
      </c>
      <c r="B37" s="78" t="s">
        <v>356</v>
      </c>
      <c r="C37" s="78" t="s">
        <v>357</v>
      </c>
      <c r="D37" s="111"/>
      <c r="E37" s="150">
        <f>IFERROR(__xludf.DUMMYFUNCTION("googlefinance(B37,""price"")"),502.96)</f>
        <v>502.96</v>
      </c>
      <c r="F37" s="84" t="s">
        <v>358</v>
      </c>
      <c r="G37" s="84">
        <v>21.18</v>
      </c>
      <c r="H37" s="157">
        <v>13.0</v>
      </c>
      <c r="I37" s="160">
        <v>0.0134</v>
      </c>
      <c r="J37" s="167">
        <v>0.2333</v>
      </c>
      <c r="K37" s="167">
        <v>0.1394</v>
      </c>
      <c r="L37" s="165">
        <v>0.68</v>
      </c>
      <c r="M37" s="113">
        <v>23.39</v>
      </c>
      <c r="N37" s="158">
        <v>-0.0094</v>
      </c>
      <c r="O37" s="83" t="s">
        <v>282</v>
      </c>
    </row>
    <row r="38">
      <c r="A38" s="156" t="s">
        <v>359</v>
      </c>
      <c r="B38" s="156" t="s">
        <v>360</v>
      </c>
      <c r="C38" s="156" t="s">
        <v>361</v>
      </c>
      <c r="D38" s="111"/>
      <c r="E38" s="150">
        <f>IFERROR(__xludf.DUMMYFUNCTION("googlefinance(B38,""price"")"),288.11)</f>
        <v>288.11</v>
      </c>
      <c r="F38" s="84" t="s">
        <v>362</v>
      </c>
      <c r="G38" s="84">
        <v>0.25</v>
      </c>
      <c r="H38" s="181" t="s">
        <v>82</v>
      </c>
      <c r="I38" s="83" t="s">
        <v>363</v>
      </c>
      <c r="J38" s="83" t="s">
        <v>363</v>
      </c>
      <c r="K38" s="167">
        <v>0.183</v>
      </c>
      <c r="L38" s="162">
        <v>1.21</v>
      </c>
      <c r="M38" s="182">
        <f t="shared" ref="M38:M39" si="2">E38/G38</f>
        <v>1152.44</v>
      </c>
      <c r="N38" s="158">
        <v>-0.001</v>
      </c>
      <c r="O38" s="83" t="s">
        <v>364</v>
      </c>
    </row>
    <row r="39">
      <c r="A39" s="78" t="s">
        <v>365</v>
      </c>
      <c r="B39" s="183" t="s">
        <v>366</v>
      </c>
      <c r="C39" s="78" t="s">
        <v>367</v>
      </c>
      <c r="D39" s="111"/>
      <c r="E39" s="150">
        <f>IFERROR(__xludf.DUMMYFUNCTION("googlefinance(B39,""price"")"),41.38)</f>
        <v>41.38</v>
      </c>
      <c r="F39" s="84" t="s">
        <v>368</v>
      </c>
      <c r="G39" s="84">
        <v>5.06</v>
      </c>
      <c r="H39" s="168">
        <v>18.0</v>
      </c>
      <c r="I39" s="167">
        <v>0.0647</v>
      </c>
      <c r="J39" s="173">
        <f>2.61/G39</f>
        <v>0.5158102767</v>
      </c>
      <c r="K39" s="160">
        <v>0.0082</v>
      </c>
      <c r="L39" s="165">
        <v>0.32</v>
      </c>
      <c r="M39" s="184">
        <f t="shared" si="2"/>
        <v>8.177865613</v>
      </c>
      <c r="N39" s="152">
        <v>7.0E-4</v>
      </c>
      <c r="O39" s="83" t="s">
        <v>369</v>
      </c>
    </row>
    <row r="40">
      <c r="A40" s="156" t="s">
        <v>365</v>
      </c>
      <c r="B40" s="156" t="s">
        <v>370</v>
      </c>
      <c r="C40" s="156" t="s">
        <v>371</v>
      </c>
      <c r="D40" s="111"/>
      <c r="E40" s="150">
        <f>IFERROR(__xludf.DUMMYFUNCTION("googlefinance(B40,""price"")"),275.58)</f>
        <v>275.58</v>
      </c>
      <c r="F40" s="84" t="s">
        <v>372</v>
      </c>
      <c r="G40" s="84">
        <v>7.16</v>
      </c>
      <c r="H40" s="157">
        <v>14.0</v>
      </c>
      <c r="I40" s="160">
        <v>0.0078</v>
      </c>
      <c r="J40" s="173">
        <f>1.8/G40</f>
        <v>0.251396648</v>
      </c>
      <c r="K40" s="167">
        <v>0.1548</v>
      </c>
      <c r="L40" s="113">
        <v>0.96</v>
      </c>
      <c r="M40" s="113">
        <v>32.06</v>
      </c>
      <c r="N40" s="167">
        <v>-0.0142</v>
      </c>
      <c r="O40" s="83" t="s">
        <v>282</v>
      </c>
    </row>
    <row r="41">
      <c r="A41" s="78" t="s">
        <v>373</v>
      </c>
      <c r="B41" s="78" t="s">
        <v>374</v>
      </c>
      <c r="C41" s="78" t="s">
        <v>375</v>
      </c>
      <c r="D41" s="111"/>
      <c r="E41" s="150">
        <f>IFERROR(__xludf.DUMMYFUNCTION("googlefinance(B41,""price"")"),22.16)</f>
        <v>22.16</v>
      </c>
      <c r="F41" s="84" t="s">
        <v>376</v>
      </c>
      <c r="G41" s="84">
        <v>5.03</v>
      </c>
      <c r="H41" s="157">
        <v>8.0</v>
      </c>
      <c r="I41" s="153">
        <v>0.053</v>
      </c>
      <c r="J41" s="158">
        <v>0.6812</v>
      </c>
      <c r="K41" s="153">
        <v>0.0763</v>
      </c>
      <c r="L41" s="155">
        <v>0.7</v>
      </c>
      <c r="M41" s="155">
        <v>7.18</v>
      </c>
      <c r="N41" s="158">
        <v>-0.0046</v>
      </c>
      <c r="O41" s="83" t="s">
        <v>377</v>
      </c>
    </row>
    <row r="42">
      <c r="A42" s="156" t="s">
        <v>46</v>
      </c>
      <c r="B42" s="156" t="s">
        <v>39</v>
      </c>
      <c r="C42" s="156" t="s">
        <v>378</v>
      </c>
      <c r="D42" s="111"/>
      <c r="E42" s="150">
        <f>IFERROR(__xludf.DUMMYFUNCTION("googlefinance(B42,""price"")"),168.66)</f>
        <v>168.66</v>
      </c>
      <c r="F42" s="84" t="s">
        <v>379</v>
      </c>
      <c r="G42" s="84">
        <v>3.25</v>
      </c>
      <c r="H42" s="168">
        <v>50.0</v>
      </c>
      <c r="I42" s="162">
        <v>1.56</v>
      </c>
      <c r="J42" s="185">
        <f>2.24/3.25</f>
        <v>0.6892307692</v>
      </c>
      <c r="K42" s="160">
        <v>0.0434</v>
      </c>
      <c r="L42" s="165">
        <v>0.53</v>
      </c>
      <c r="M42" s="162">
        <v>44.74</v>
      </c>
      <c r="N42" s="167">
        <v>-0.0148</v>
      </c>
      <c r="O42" s="83" t="s">
        <v>314</v>
      </c>
    </row>
    <row r="43">
      <c r="A43" s="78" t="s">
        <v>46</v>
      </c>
      <c r="B43" s="78" t="s">
        <v>380</v>
      </c>
      <c r="C43" s="78" t="s">
        <v>381</v>
      </c>
      <c r="D43" s="111"/>
      <c r="E43" s="150">
        <f>IFERROR(__xludf.DUMMYFUNCTION("googlefinance(B43,""price"")"),96.65)</f>
        <v>96.65</v>
      </c>
      <c r="F43" s="84">
        <v>197.19</v>
      </c>
      <c r="G43" s="84">
        <v>1.78</v>
      </c>
      <c r="H43" s="181" t="s">
        <v>82</v>
      </c>
      <c r="I43" s="186" t="s">
        <v>82</v>
      </c>
      <c r="J43" s="83" t="s">
        <v>82</v>
      </c>
      <c r="K43" s="113">
        <v>20.64</v>
      </c>
      <c r="L43" s="162">
        <v>1.29</v>
      </c>
      <c r="M43" s="162">
        <v>60.64</v>
      </c>
      <c r="N43" s="158">
        <v>-0.005</v>
      </c>
      <c r="O43" s="83" t="s">
        <v>382</v>
      </c>
    </row>
    <row r="44">
      <c r="A44" s="156" t="s">
        <v>383</v>
      </c>
      <c r="B44" s="156" t="s">
        <v>384</v>
      </c>
      <c r="C44" s="156" t="s">
        <v>385</v>
      </c>
      <c r="D44" s="111"/>
      <c r="E44" s="150">
        <f>IFERROR(__xludf.DUMMYFUNCTION("googlefinance(B44,""price"")"),53.16)</f>
        <v>53.16</v>
      </c>
      <c r="F44" s="84" t="s">
        <v>386</v>
      </c>
      <c r="G44" s="84">
        <v>6.25</v>
      </c>
      <c r="H44" s="171">
        <v>0.0</v>
      </c>
      <c r="I44" s="167">
        <v>0.0469</v>
      </c>
      <c r="J44" s="173">
        <f>2.8/G44</f>
        <v>0.448</v>
      </c>
      <c r="K44" s="162">
        <v>-2.61</v>
      </c>
      <c r="L44" s="162">
        <v>1.34</v>
      </c>
      <c r="M44" s="165">
        <v>9.57</v>
      </c>
      <c r="N44" s="167">
        <v>-0.0312</v>
      </c>
      <c r="O44" s="83" t="s">
        <v>277</v>
      </c>
    </row>
    <row r="45">
      <c r="H45" s="187"/>
    </row>
    <row r="46">
      <c r="D46" s="133"/>
      <c r="G46" s="188"/>
      <c r="H46" s="187"/>
    </row>
    <row r="47">
      <c r="H47" s="187"/>
    </row>
    <row r="48">
      <c r="D48" s="133"/>
      <c r="E48" s="188"/>
      <c r="F48" s="133"/>
      <c r="H48" s="187"/>
    </row>
    <row r="49">
      <c r="H49" s="187"/>
    </row>
    <row r="50">
      <c r="E50" s="133"/>
      <c r="F50" s="133"/>
      <c r="H50" s="187"/>
    </row>
    <row r="51">
      <c r="H51" s="187"/>
    </row>
    <row r="52">
      <c r="H52" s="187"/>
    </row>
    <row r="53">
      <c r="H53" s="187"/>
    </row>
    <row r="54">
      <c r="H54" s="187"/>
    </row>
    <row r="55">
      <c r="H55" s="187"/>
    </row>
    <row r="56">
      <c r="H56" s="187"/>
    </row>
    <row r="57">
      <c r="H57" s="187"/>
    </row>
    <row r="58">
      <c r="H58" s="187"/>
    </row>
    <row r="59">
      <c r="H59" s="187"/>
    </row>
    <row r="60">
      <c r="H60" s="187"/>
    </row>
    <row r="61">
      <c r="H61" s="187"/>
    </row>
    <row r="62">
      <c r="H62" s="187"/>
    </row>
    <row r="63">
      <c r="H63" s="187"/>
    </row>
    <row r="64">
      <c r="H64" s="187"/>
    </row>
    <row r="65">
      <c r="H65" s="187"/>
    </row>
    <row r="66">
      <c r="H66" s="187"/>
    </row>
    <row r="67">
      <c r="H67" s="187"/>
    </row>
    <row r="68">
      <c r="H68" s="187"/>
    </row>
    <row r="69">
      <c r="H69" s="187"/>
    </row>
    <row r="70">
      <c r="H70" s="187"/>
    </row>
    <row r="71">
      <c r="H71" s="187"/>
    </row>
    <row r="72">
      <c r="H72" s="187"/>
    </row>
    <row r="73">
      <c r="H73" s="187"/>
    </row>
    <row r="74">
      <c r="H74" s="187"/>
    </row>
    <row r="75">
      <c r="H75" s="187"/>
    </row>
    <row r="76">
      <c r="H76" s="187"/>
    </row>
    <row r="77">
      <c r="H77" s="187"/>
    </row>
    <row r="78">
      <c r="H78" s="187"/>
    </row>
    <row r="79">
      <c r="H79" s="187"/>
    </row>
    <row r="80">
      <c r="H80" s="187"/>
    </row>
    <row r="81">
      <c r="H81" s="187"/>
    </row>
    <row r="82">
      <c r="H82" s="187"/>
    </row>
    <row r="83">
      <c r="H83" s="187"/>
    </row>
    <row r="84">
      <c r="H84" s="187"/>
    </row>
    <row r="85">
      <c r="H85" s="187"/>
    </row>
    <row r="86">
      <c r="H86" s="187"/>
    </row>
    <row r="87">
      <c r="H87" s="187"/>
    </row>
    <row r="88">
      <c r="H88" s="187"/>
    </row>
    <row r="89">
      <c r="H89" s="187"/>
    </row>
    <row r="90">
      <c r="H90" s="187"/>
    </row>
    <row r="91">
      <c r="H91" s="187"/>
    </row>
    <row r="92">
      <c r="H92" s="187"/>
    </row>
    <row r="93">
      <c r="H93" s="187"/>
    </row>
    <row r="94">
      <c r="H94" s="187"/>
    </row>
    <row r="95">
      <c r="H95" s="187"/>
    </row>
    <row r="96">
      <c r="H96" s="187"/>
    </row>
    <row r="97">
      <c r="H97" s="187"/>
    </row>
    <row r="98">
      <c r="H98" s="187"/>
    </row>
    <row r="99">
      <c r="H99" s="187"/>
    </row>
    <row r="100">
      <c r="H100" s="187"/>
    </row>
    <row r="101">
      <c r="H101" s="187"/>
    </row>
    <row r="102">
      <c r="H102" s="187"/>
    </row>
    <row r="103">
      <c r="H103" s="187"/>
    </row>
    <row r="104">
      <c r="H104" s="187"/>
    </row>
    <row r="105">
      <c r="H105" s="187"/>
    </row>
    <row r="106">
      <c r="H106" s="187"/>
    </row>
    <row r="107">
      <c r="H107" s="187"/>
    </row>
    <row r="108">
      <c r="H108" s="187"/>
    </row>
    <row r="109">
      <c r="H109" s="187"/>
    </row>
    <row r="110">
      <c r="H110" s="187"/>
    </row>
    <row r="111">
      <c r="H111" s="187"/>
    </row>
    <row r="112">
      <c r="H112" s="187"/>
    </row>
    <row r="113">
      <c r="H113" s="187"/>
    </row>
    <row r="114">
      <c r="H114" s="187"/>
    </row>
    <row r="115">
      <c r="H115" s="187"/>
    </row>
    <row r="116">
      <c r="H116" s="187"/>
    </row>
    <row r="117">
      <c r="H117" s="187"/>
    </row>
    <row r="118">
      <c r="H118" s="187"/>
    </row>
    <row r="119">
      <c r="H119" s="187"/>
    </row>
    <row r="120">
      <c r="H120" s="187"/>
    </row>
    <row r="121">
      <c r="H121" s="187"/>
    </row>
    <row r="122">
      <c r="H122" s="187"/>
    </row>
    <row r="123">
      <c r="H123" s="187"/>
    </row>
    <row r="124">
      <c r="H124" s="187"/>
    </row>
    <row r="125">
      <c r="H125" s="187"/>
    </row>
    <row r="126">
      <c r="H126" s="187"/>
    </row>
    <row r="127">
      <c r="H127" s="187"/>
    </row>
    <row r="128">
      <c r="H128" s="187"/>
    </row>
    <row r="129">
      <c r="H129" s="187"/>
    </row>
    <row r="130">
      <c r="H130" s="187"/>
    </row>
    <row r="131">
      <c r="H131" s="187"/>
    </row>
    <row r="132">
      <c r="H132" s="187"/>
    </row>
    <row r="133">
      <c r="H133" s="187"/>
    </row>
    <row r="134">
      <c r="H134" s="187"/>
    </row>
    <row r="135">
      <c r="H135" s="187"/>
    </row>
    <row r="136">
      <c r="H136" s="187"/>
    </row>
    <row r="137">
      <c r="H137" s="187"/>
    </row>
    <row r="138">
      <c r="H138" s="187"/>
    </row>
    <row r="139">
      <c r="H139" s="187"/>
    </row>
    <row r="140">
      <c r="H140" s="187"/>
    </row>
    <row r="141">
      <c r="H141" s="187"/>
    </row>
    <row r="142">
      <c r="H142" s="187"/>
    </row>
    <row r="143">
      <c r="H143" s="187"/>
    </row>
    <row r="144">
      <c r="H144" s="187"/>
    </row>
    <row r="145">
      <c r="H145" s="187"/>
    </row>
    <row r="146">
      <c r="H146" s="187"/>
    </row>
    <row r="147">
      <c r="H147" s="187"/>
    </row>
    <row r="148">
      <c r="H148" s="187"/>
    </row>
    <row r="149">
      <c r="H149" s="187"/>
    </row>
    <row r="150">
      <c r="H150" s="187"/>
    </row>
    <row r="151">
      <c r="H151" s="187"/>
    </row>
    <row r="152">
      <c r="H152" s="187"/>
    </row>
    <row r="153">
      <c r="H153" s="187"/>
    </row>
    <row r="154">
      <c r="H154" s="187"/>
    </row>
    <row r="155">
      <c r="H155" s="187"/>
    </row>
    <row r="156">
      <c r="H156" s="187"/>
    </row>
    <row r="157">
      <c r="H157" s="187"/>
    </row>
    <row r="158">
      <c r="H158" s="187"/>
    </row>
    <row r="159">
      <c r="H159" s="187"/>
    </row>
    <row r="160">
      <c r="H160" s="187"/>
    </row>
    <row r="161">
      <c r="H161" s="187"/>
    </row>
    <row r="162">
      <c r="H162" s="187"/>
    </row>
    <row r="163">
      <c r="H163" s="187"/>
    </row>
    <row r="164">
      <c r="H164" s="187"/>
    </row>
    <row r="165">
      <c r="H165" s="187"/>
    </row>
    <row r="166">
      <c r="H166" s="187"/>
    </row>
    <row r="167">
      <c r="H167" s="187"/>
    </row>
    <row r="168">
      <c r="H168" s="187"/>
    </row>
    <row r="169">
      <c r="H169" s="187"/>
    </row>
    <row r="170">
      <c r="H170" s="187"/>
    </row>
    <row r="171">
      <c r="H171" s="187"/>
    </row>
    <row r="172">
      <c r="H172" s="187"/>
    </row>
    <row r="173">
      <c r="H173" s="187"/>
    </row>
    <row r="174">
      <c r="H174" s="187"/>
    </row>
    <row r="175">
      <c r="H175" s="187"/>
    </row>
    <row r="176">
      <c r="H176" s="187"/>
    </row>
    <row r="177">
      <c r="H177" s="187"/>
    </row>
    <row r="178">
      <c r="H178" s="187"/>
    </row>
    <row r="179">
      <c r="H179" s="187"/>
    </row>
    <row r="180">
      <c r="H180" s="187"/>
    </row>
    <row r="181">
      <c r="H181" s="187"/>
    </row>
    <row r="182">
      <c r="H182" s="187"/>
    </row>
    <row r="183">
      <c r="H183" s="187"/>
    </row>
    <row r="184">
      <c r="H184" s="187"/>
    </row>
    <row r="185">
      <c r="H185" s="187"/>
    </row>
    <row r="186">
      <c r="H186" s="187"/>
    </row>
    <row r="187">
      <c r="H187" s="187"/>
    </row>
    <row r="188">
      <c r="H188" s="187"/>
    </row>
    <row r="189">
      <c r="H189" s="187"/>
    </row>
    <row r="190">
      <c r="H190" s="187"/>
    </row>
    <row r="191">
      <c r="H191" s="187"/>
    </row>
    <row r="192">
      <c r="H192" s="187"/>
    </row>
    <row r="193">
      <c r="H193" s="187"/>
    </row>
    <row r="194">
      <c r="H194" s="187"/>
    </row>
    <row r="195">
      <c r="H195" s="187"/>
    </row>
    <row r="196">
      <c r="H196" s="187"/>
    </row>
    <row r="197">
      <c r="H197" s="187"/>
    </row>
    <row r="198">
      <c r="H198" s="187"/>
    </row>
    <row r="199">
      <c r="H199" s="187"/>
    </row>
    <row r="200">
      <c r="H200" s="187"/>
    </row>
    <row r="201">
      <c r="H201" s="187"/>
    </row>
    <row r="202">
      <c r="H202" s="187"/>
    </row>
    <row r="203">
      <c r="H203" s="187"/>
    </row>
    <row r="204">
      <c r="H204" s="187"/>
    </row>
    <row r="205">
      <c r="H205" s="187"/>
    </row>
    <row r="206">
      <c r="H206" s="187"/>
    </row>
    <row r="207">
      <c r="H207" s="187"/>
    </row>
    <row r="208">
      <c r="H208" s="187"/>
    </row>
    <row r="209">
      <c r="H209" s="187"/>
    </row>
    <row r="210">
      <c r="H210" s="187"/>
    </row>
    <row r="211">
      <c r="H211" s="187"/>
    </row>
    <row r="212">
      <c r="H212" s="187"/>
    </row>
    <row r="213">
      <c r="H213" s="187"/>
    </row>
    <row r="214">
      <c r="H214" s="187"/>
    </row>
    <row r="215">
      <c r="H215" s="187"/>
    </row>
    <row r="216">
      <c r="H216" s="187"/>
    </row>
    <row r="217">
      <c r="H217" s="187"/>
    </row>
    <row r="218">
      <c r="H218" s="187"/>
    </row>
    <row r="219">
      <c r="H219" s="187"/>
    </row>
    <row r="220">
      <c r="H220" s="187"/>
    </row>
    <row r="221">
      <c r="H221" s="187"/>
    </row>
    <row r="222">
      <c r="H222" s="187"/>
    </row>
    <row r="223">
      <c r="H223" s="187"/>
    </row>
    <row r="224">
      <c r="H224" s="187"/>
    </row>
    <row r="225">
      <c r="H225" s="187"/>
    </row>
    <row r="226">
      <c r="H226" s="187"/>
    </row>
    <row r="227">
      <c r="H227" s="187"/>
    </row>
    <row r="228">
      <c r="H228" s="187"/>
    </row>
    <row r="229">
      <c r="H229" s="187"/>
    </row>
    <row r="230">
      <c r="H230" s="187"/>
    </row>
    <row r="231">
      <c r="H231" s="187"/>
    </row>
    <row r="232">
      <c r="H232" s="187"/>
    </row>
    <row r="233">
      <c r="H233" s="187"/>
    </row>
    <row r="234">
      <c r="H234" s="187"/>
    </row>
    <row r="235">
      <c r="H235" s="187"/>
    </row>
    <row r="236">
      <c r="H236" s="187"/>
    </row>
    <row r="237">
      <c r="H237" s="187"/>
    </row>
    <row r="238">
      <c r="H238" s="187"/>
    </row>
    <row r="239">
      <c r="H239" s="187"/>
    </row>
    <row r="240">
      <c r="H240" s="187"/>
    </row>
    <row r="241">
      <c r="H241" s="187"/>
    </row>
    <row r="242">
      <c r="H242" s="187"/>
    </row>
    <row r="243">
      <c r="H243" s="187"/>
    </row>
    <row r="244">
      <c r="H244" s="187"/>
    </row>
    <row r="245">
      <c r="H245" s="187"/>
    </row>
    <row r="246">
      <c r="H246" s="187"/>
    </row>
    <row r="247">
      <c r="H247" s="187"/>
    </row>
    <row r="248">
      <c r="H248" s="187"/>
    </row>
    <row r="249">
      <c r="H249" s="187"/>
    </row>
    <row r="250">
      <c r="H250" s="187"/>
    </row>
    <row r="251">
      <c r="H251" s="187"/>
    </row>
    <row r="252">
      <c r="H252" s="187"/>
    </row>
    <row r="253">
      <c r="H253" s="187"/>
    </row>
    <row r="254">
      <c r="H254" s="187"/>
    </row>
    <row r="255">
      <c r="H255" s="187"/>
    </row>
    <row r="256">
      <c r="H256" s="187"/>
    </row>
    <row r="257">
      <c r="H257" s="187"/>
    </row>
    <row r="258">
      <c r="H258" s="187"/>
    </row>
    <row r="259">
      <c r="H259" s="187"/>
    </row>
    <row r="260">
      <c r="H260" s="187"/>
    </row>
    <row r="261">
      <c r="H261" s="187"/>
    </row>
    <row r="262">
      <c r="H262" s="187"/>
    </row>
    <row r="263">
      <c r="H263" s="187"/>
    </row>
    <row r="264">
      <c r="H264" s="187"/>
    </row>
    <row r="265">
      <c r="H265" s="187"/>
    </row>
    <row r="266">
      <c r="H266" s="187"/>
    </row>
    <row r="267">
      <c r="H267" s="187"/>
    </row>
    <row r="268">
      <c r="H268" s="187"/>
    </row>
    <row r="269">
      <c r="H269" s="187"/>
    </row>
    <row r="270">
      <c r="H270" s="187"/>
    </row>
    <row r="271">
      <c r="H271" s="187"/>
    </row>
    <row r="272">
      <c r="H272" s="187"/>
    </row>
    <row r="273">
      <c r="H273" s="187"/>
    </row>
    <row r="274">
      <c r="H274" s="187"/>
    </row>
    <row r="275">
      <c r="H275" s="187"/>
    </row>
    <row r="276">
      <c r="H276" s="187"/>
    </row>
    <row r="277">
      <c r="H277" s="187"/>
    </row>
    <row r="278">
      <c r="H278" s="187"/>
    </row>
    <row r="279">
      <c r="H279" s="187"/>
    </row>
    <row r="280">
      <c r="H280" s="187"/>
    </row>
    <row r="281">
      <c r="H281" s="187"/>
    </row>
    <row r="282">
      <c r="H282" s="187"/>
    </row>
    <row r="283">
      <c r="H283" s="187"/>
    </row>
    <row r="284">
      <c r="H284" s="187"/>
    </row>
    <row r="285">
      <c r="H285" s="187"/>
    </row>
    <row r="286">
      <c r="H286" s="187"/>
    </row>
    <row r="287">
      <c r="H287" s="187"/>
    </row>
    <row r="288">
      <c r="H288" s="187"/>
    </row>
    <row r="289">
      <c r="H289" s="187"/>
    </row>
    <row r="290">
      <c r="H290" s="187"/>
    </row>
    <row r="291">
      <c r="H291" s="187"/>
    </row>
    <row r="292">
      <c r="H292" s="187"/>
    </row>
    <row r="293">
      <c r="H293" s="187"/>
    </row>
    <row r="294">
      <c r="H294" s="187"/>
    </row>
    <row r="295">
      <c r="H295" s="187"/>
    </row>
    <row r="296">
      <c r="H296" s="187"/>
    </row>
    <row r="297">
      <c r="H297" s="187"/>
    </row>
    <row r="298">
      <c r="H298" s="187"/>
    </row>
    <row r="299">
      <c r="H299" s="187"/>
    </row>
    <row r="300">
      <c r="H300" s="187"/>
    </row>
    <row r="301">
      <c r="H301" s="187"/>
    </row>
    <row r="302">
      <c r="H302" s="187"/>
    </row>
    <row r="303">
      <c r="H303" s="187"/>
    </row>
    <row r="304">
      <c r="H304" s="187"/>
    </row>
    <row r="305">
      <c r="H305" s="187"/>
    </row>
    <row r="306">
      <c r="H306" s="187"/>
    </row>
    <row r="307">
      <c r="H307" s="187"/>
    </row>
    <row r="308">
      <c r="H308" s="187"/>
    </row>
    <row r="309">
      <c r="H309" s="187"/>
    </row>
    <row r="310">
      <c r="H310" s="187"/>
    </row>
    <row r="311">
      <c r="H311" s="187"/>
    </row>
    <row r="312">
      <c r="H312" s="187"/>
    </row>
    <row r="313">
      <c r="H313" s="187"/>
    </row>
    <row r="314">
      <c r="H314" s="187"/>
    </row>
    <row r="315">
      <c r="H315" s="187"/>
    </row>
    <row r="316">
      <c r="H316" s="187"/>
    </row>
    <row r="317">
      <c r="H317" s="187"/>
    </row>
    <row r="318">
      <c r="H318" s="187"/>
    </row>
    <row r="319">
      <c r="H319" s="187"/>
    </row>
    <row r="320">
      <c r="H320" s="187"/>
    </row>
    <row r="321">
      <c r="H321" s="187"/>
    </row>
    <row r="322">
      <c r="H322" s="187"/>
    </row>
    <row r="323">
      <c r="H323" s="187"/>
    </row>
    <row r="324">
      <c r="H324" s="187"/>
    </row>
    <row r="325">
      <c r="H325" s="187"/>
    </row>
    <row r="326">
      <c r="H326" s="187"/>
    </row>
    <row r="327">
      <c r="H327" s="187"/>
    </row>
    <row r="328">
      <c r="H328" s="187"/>
    </row>
    <row r="329">
      <c r="H329" s="187"/>
    </row>
    <row r="330">
      <c r="H330" s="187"/>
    </row>
    <row r="331">
      <c r="H331" s="187"/>
    </row>
    <row r="332">
      <c r="H332" s="187"/>
    </row>
    <row r="333">
      <c r="H333" s="187"/>
    </row>
    <row r="334">
      <c r="H334" s="187"/>
    </row>
    <row r="335">
      <c r="H335" s="187"/>
    </row>
    <row r="336">
      <c r="H336" s="187"/>
    </row>
    <row r="337">
      <c r="H337" s="187"/>
    </row>
    <row r="338">
      <c r="H338" s="187"/>
    </row>
    <row r="339">
      <c r="H339" s="187"/>
    </row>
    <row r="340">
      <c r="H340" s="187"/>
    </row>
    <row r="341">
      <c r="H341" s="187"/>
    </row>
    <row r="342">
      <c r="H342" s="187"/>
    </row>
    <row r="343">
      <c r="H343" s="187"/>
    </row>
    <row r="344">
      <c r="H344" s="187"/>
    </row>
    <row r="345">
      <c r="H345" s="187"/>
    </row>
    <row r="346">
      <c r="H346" s="187"/>
    </row>
    <row r="347">
      <c r="H347" s="187"/>
    </row>
    <row r="348">
      <c r="H348" s="187"/>
    </row>
    <row r="349">
      <c r="H349" s="187"/>
    </row>
    <row r="350">
      <c r="H350" s="187"/>
    </row>
    <row r="351">
      <c r="H351" s="187"/>
    </row>
    <row r="352">
      <c r="H352" s="187"/>
    </row>
    <row r="353">
      <c r="H353" s="187"/>
    </row>
    <row r="354">
      <c r="H354" s="187"/>
    </row>
    <row r="355">
      <c r="H355" s="187"/>
    </row>
    <row r="356">
      <c r="H356" s="187"/>
    </row>
    <row r="357">
      <c r="H357" s="187"/>
    </row>
    <row r="358">
      <c r="H358" s="187"/>
    </row>
    <row r="359">
      <c r="H359" s="187"/>
    </row>
    <row r="360">
      <c r="H360" s="187"/>
    </row>
    <row r="361">
      <c r="H361" s="187"/>
    </row>
    <row r="362">
      <c r="H362" s="187"/>
    </row>
    <row r="363">
      <c r="H363" s="187"/>
    </row>
    <row r="364">
      <c r="H364" s="187"/>
    </row>
    <row r="365">
      <c r="H365" s="187"/>
    </row>
    <row r="366">
      <c r="H366" s="187"/>
    </row>
    <row r="367">
      <c r="H367" s="187"/>
    </row>
    <row r="368">
      <c r="H368" s="187"/>
    </row>
    <row r="369">
      <c r="H369" s="187"/>
    </row>
    <row r="370">
      <c r="H370" s="187"/>
    </row>
    <row r="371">
      <c r="H371" s="187"/>
    </row>
    <row r="372">
      <c r="H372" s="187"/>
    </row>
    <row r="373">
      <c r="H373" s="187"/>
    </row>
    <row r="374">
      <c r="H374" s="187"/>
    </row>
    <row r="375">
      <c r="H375" s="187"/>
    </row>
    <row r="376">
      <c r="H376" s="187"/>
    </row>
    <row r="377">
      <c r="H377" s="187"/>
    </row>
    <row r="378">
      <c r="H378" s="187"/>
    </row>
    <row r="379">
      <c r="H379" s="187"/>
    </row>
    <row r="380">
      <c r="H380" s="187"/>
    </row>
    <row r="381">
      <c r="H381" s="187"/>
    </row>
    <row r="382">
      <c r="H382" s="187"/>
    </row>
    <row r="383">
      <c r="H383" s="187"/>
    </row>
    <row r="384">
      <c r="H384" s="187"/>
    </row>
    <row r="385">
      <c r="H385" s="187"/>
    </row>
    <row r="386">
      <c r="H386" s="187"/>
    </row>
    <row r="387">
      <c r="H387" s="187"/>
    </row>
    <row r="388">
      <c r="H388" s="187"/>
    </row>
    <row r="389">
      <c r="H389" s="187"/>
    </row>
    <row r="390">
      <c r="H390" s="187"/>
    </row>
    <row r="391">
      <c r="H391" s="187"/>
    </row>
    <row r="392">
      <c r="H392" s="187"/>
    </row>
    <row r="393">
      <c r="H393" s="187"/>
    </row>
    <row r="394">
      <c r="H394" s="187"/>
    </row>
    <row r="395">
      <c r="H395" s="187"/>
    </row>
    <row r="396">
      <c r="H396" s="187"/>
    </row>
    <row r="397">
      <c r="H397" s="187"/>
    </row>
    <row r="398">
      <c r="H398" s="187"/>
    </row>
    <row r="399">
      <c r="H399" s="187"/>
    </row>
    <row r="400">
      <c r="H400" s="187"/>
    </row>
    <row r="401">
      <c r="H401" s="187"/>
    </row>
    <row r="402">
      <c r="H402" s="187"/>
    </row>
    <row r="403">
      <c r="H403" s="187"/>
    </row>
    <row r="404">
      <c r="H404" s="187"/>
    </row>
    <row r="405">
      <c r="H405" s="187"/>
    </row>
    <row r="406">
      <c r="H406" s="187"/>
    </row>
    <row r="407">
      <c r="H407" s="187"/>
    </row>
    <row r="408">
      <c r="H408" s="187"/>
    </row>
    <row r="409">
      <c r="H409" s="187"/>
    </row>
    <row r="410">
      <c r="H410" s="187"/>
    </row>
    <row r="411">
      <c r="H411" s="187"/>
    </row>
    <row r="412">
      <c r="H412" s="187"/>
    </row>
    <row r="413">
      <c r="H413" s="187"/>
    </row>
    <row r="414">
      <c r="H414" s="187"/>
    </row>
    <row r="415">
      <c r="H415" s="187"/>
    </row>
    <row r="416">
      <c r="H416" s="187"/>
    </row>
    <row r="417">
      <c r="H417" s="187"/>
    </row>
    <row r="418">
      <c r="H418" s="187"/>
    </row>
    <row r="419">
      <c r="H419" s="187"/>
    </row>
    <row r="420">
      <c r="H420" s="187"/>
    </row>
    <row r="421">
      <c r="H421" s="187"/>
    </row>
    <row r="422">
      <c r="H422" s="187"/>
    </row>
    <row r="423">
      <c r="H423" s="187"/>
    </row>
    <row r="424">
      <c r="H424" s="187"/>
    </row>
    <row r="425">
      <c r="H425" s="187"/>
    </row>
    <row r="426">
      <c r="H426" s="187"/>
    </row>
    <row r="427">
      <c r="H427" s="187"/>
    </row>
    <row r="428">
      <c r="H428" s="187"/>
    </row>
    <row r="429">
      <c r="H429" s="187"/>
    </row>
    <row r="430">
      <c r="H430" s="187"/>
    </row>
    <row r="431">
      <c r="H431" s="187"/>
    </row>
    <row r="432">
      <c r="H432" s="187"/>
    </row>
    <row r="433">
      <c r="H433" s="187"/>
    </row>
    <row r="434">
      <c r="H434" s="187"/>
    </row>
    <row r="435">
      <c r="H435" s="187"/>
    </row>
    <row r="436">
      <c r="H436" s="187"/>
    </row>
    <row r="437">
      <c r="H437" s="187"/>
    </row>
    <row r="438">
      <c r="H438" s="187"/>
    </row>
    <row r="439">
      <c r="H439" s="187"/>
    </row>
    <row r="440">
      <c r="H440" s="187"/>
    </row>
    <row r="441">
      <c r="H441" s="187"/>
    </row>
    <row r="442">
      <c r="H442" s="187"/>
    </row>
    <row r="443">
      <c r="H443" s="187"/>
    </row>
    <row r="444">
      <c r="H444" s="187"/>
    </row>
    <row r="445">
      <c r="H445" s="187"/>
    </row>
    <row r="446">
      <c r="H446" s="187"/>
    </row>
    <row r="447">
      <c r="H447" s="187"/>
    </row>
    <row r="448">
      <c r="H448" s="187"/>
    </row>
    <row r="449">
      <c r="H449" s="187"/>
    </row>
    <row r="450">
      <c r="H450" s="187"/>
    </row>
    <row r="451">
      <c r="H451" s="187"/>
    </row>
    <row r="452">
      <c r="H452" s="187"/>
    </row>
    <row r="453">
      <c r="H453" s="187"/>
    </row>
    <row r="454">
      <c r="H454" s="187"/>
    </row>
    <row r="455">
      <c r="H455" s="187"/>
    </row>
    <row r="456">
      <c r="H456" s="187"/>
    </row>
    <row r="457">
      <c r="H457" s="187"/>
    </row>
    <row r="458">
      <c r="H458" s="187"/>
    </row>
    <row r="459">
      <c r="H459" s="187"/>
    </row>
    <row r="460">
      <c r="H460" s="187"/>
    </row>
    <row r="461">
      <c r="H461" s="187"/>
    </row>
    <row r="462">
      <c r="H462" s="187"/>
    </row>
    <row r="463">
      <c r="H463" s="187"/>
    </row>
    <row r="464">
      <c r="H464" s="187"/>
    </row>
    <row r="465">
      <c r="H465" s="187"/>
    </row>
    <row r="466">
      <c r="H466" s="187"/>
    </row>
    <row r="467">
      <c r="H467" s="187"/>
    </row>
    <row r="468">
      <c r="H468" s="187"/>
    </row>
    <row r="469">
      <c r="H469" s="187"/>
    </row>
    <row r="470">
      <c r="H470" s="187"/>
    </row>
    <row r="471">
      <c r="H471" s="187"/>
    </row>
    <row r="472">
      <c r="H472" s="187"/>
    </row>
    <row r="473">
      <c r="H473" s="187"/>
    </row>
    <row r="474">
      <c r="H474" s="187"/>
    </row>
    <row r="475">
      <c r="H475" s="187"/>
    </row>
    <row r="476">
      <c r="H476" s="187"/>
    </row>
    <row r="477">
      <c r="H477" s="187"/>
    </row>
    <row r="478">
      <c r="H478" s="187"/>
    </row>
    <row r="479">
      <c r="H479" s="187"/>
    </row>
    <row r="480">
      <c r="H480" s="187"/>
    </row>
    <row r="481">
      <c r="H481" s="187"/>
    </row>
    <row r="482">
      <c r="H482" s="187"/>
    </row>
    <row r="483">
      <c r="H483" s="187"/>
    </row>
    <row r="484">
      <c r="H484" s="187"/>
    </row>
    <row r="485">
      <c r="H485" s="187"/>
    </row>
    <row r="486">
      <c r="H486" s="187"/>
    </row>
    <row r="487">
      <c r="H487" s="187"/>
    </row>
    <row r="488">
      <c r="H488" s="187"/>
    </row>
    <row r="489">
      <c r="H489" s="187"/>
    </row>
    <row r="490">
      <c r="H490" s="187"/>
    </row>
    <row r="491">
      <c r="H491" s="187"/>
    </row>
    <row r="492">
      <c r="H492" s="187"/>
    </row>
    <row r="493">
      <c r="H493" s="187"/>
    </row>
    <row r="494">
      <c r="H494" s="187"/>
    </row>
    <row r="495">
      <c r="H495" s="187"/>
    </row>
    <row r="496">
      <c r="H496" s="187"/>
    </row>
    <row r="497">
      <c r="H497" s="187"/>
    </row>
    <row r="498">
      <c r="H498" s="187"/>
    </row>
    <row r="499">
      <c r="H499" s="187"/>
    </row>
    <row r="500">
      <c r="H500" s="187"/>
    </row>
    <row r="501">
      <c r="H501" s="187"/>
    </row>
    <row r="502">
      <c r="H502" s="187"/>
    </row>
    <row r="503">
      <c r="H503" s="187"/>
    </row>
    <row r="504">
      <c r="H504" s="187"/>
    </row>
    <row r="505">
      <c r="H505" s="187"/>
    </row>
    <row r="506">
      <c r="H506" s="187"/>
    </row>
    <row r="507">
      <c r="H507" s="187"/>
    </row>
    <row r="508">
      <c r="H508" s="187"/>
    </row>
    <row r="509">
      <c r="H509" s="187"/>
    </row>
    <row r="510">
      <c r="H510" s="187"/>
    </row>
    <row r="511">
      <c r="H511" s="187"/>
    </row>
    <row r="512">
      <c r="H512" s="187"/>
    </row>
    <row r="513">
      <c r="H513" s="187"/>
    </row>
    <row r="514">
      <c r="H514" s="187"/>
    </row>
    <row r="515">
      <c r="H515" s="187"/>
    </row>
    <row r="516">
      <c r="H516" s="187"/>
    </row>
    <row r="517">
      <c r="H517" s="187"/>
    </row>
    <row r="518">
      <c r="H518" s="187"/>
    </row>
    <row r="519">
      <c r="H519" s="187"/>
    </row>
    <row r="520">
      <c r="H520" s="187"/>
    </row>
    <row r="521">
      <c r="H521" s="187"/>
    </row>
    <row r="522">
      <c r="H522" s="187"/>
    </row>
    <row r="523">
      <c r="H523" s="187"/>
    </row>
    <row r="524">
      <c r="H524" s="187"/>
    </row>
    <row r="525">
      <c r="H525" s="187"/>
    </row>
    <row r="526">
      <c r="H526" s="187"/>
    </row>
    <row r="527">
      <c r="H527" s="187"/>
    </row>
    <row r="528">
      <c r="H528" s="187"/>
    </row>
    <row r="529">
      <c r="H529" s="187"/>
    </row>
    <row r="530">
      <c r="H530" s="187"/>
    </row>
    <row r="531">
      <c r="H531" s="187"/>
    </row>
    <row r="532">
      <c r="H532" s="187"/>
    </row>
    <row r="533">
      <c r="H533" s="187"/>
    </row>
    <row r="534">
      <c r="H534" s="187"/>
    </row>
    <row r="535">
      <c r="H535" s="187"/>
    </row>
    <row r="536">
      <c r="H536" s="187"/>
    </row>
    <row r="537">
      <c r="H537" s="187"/>
    </row>
    <row r="538">
      <c r="H538" s="187"/>
    </row>
    <row r="539">
      <c r="H539" s="187"/>
    </row>
    <row r="540">
      <c r="H540" s="187"/>
    </row>
    <row r="541">
      <c r="H541" s="187"/>
    </row>
    <row r="542">
      <c r="H542" s="187"/>
    </row>
    <row r="543">
      <c r="H543" s="187"/>
    </row>
    <row r="544">
      <c r="H544" s="187"/>
    </row>
    <row r="545">
      <c r="H545" s="187"/>
    </row>
    <row r="546">
      <c r="H546" s="187"/>
    </row>
    <row r="547">
      <c r="H547" s="187"/>
    </row>
    <row r="548">
      <c r="H548" s="187"/>
    </row>
    <row r="549">
      <c r="H549" s="187"/>
    </row>
    <row r="550">
      <c r="H550" s="187"/>
    </row>
    <row r="551">
      <c r="H551" s="187"/>
    </row>
    <row r="552">
      <c r="H552" s="187"/>
    </row>
    <row r="553">
      <c r="H553" s="187"/>
    </row>
    <row r="554">
      <c r="H554" s="187"/>
    </row>
    <row r="555">
      <c r="H555" s="187"/>
    </row>
    <row r="556">
      <c r="H556" s="187"/>
    </row>
    <row r="557">
      <c r="H557" s="187"/>
    </row>
    <row r="558">
      <c r="H558" s="187"/>
    </row>
    <row r="559">
      <c r="H559" s="187"/>
    </row>
    <row r="560">
      <c r="H560" s="187"/>
    </row>
    <row r="561">
      <c r="H561" s="187"/>
    </row>
    <row r="562">
      <c r="H562" s="187"/>
    </row>
    <row r="563">
      <c r="H563" s="187"/>
    </row>
    <row r="564">
      <c r="H564" s="187"/>
    </row>
    <row r="565">
      <c r="H565" s="187"/>
    </row>
    <row r="566">
      <c r="H566" s="187"/>
    </row>
    <row r="567">
      <c r="H567" s="187"/>
    </row>
    <row r="568">
      <c r="H568" s="187"/>
    </row>
    <row r="569">
      <c r="H569" s="187"/>
    </row>
    <row r="570">
      <c r="H570" s="187"/>
    </row>
    <row r="571">
      <c r="H571" s="187"/>
    </row>
    <row r="572">
      <c r="H572" s="187"/>
    </row>
    <row r="573">
      <c r="H573" s="187"/>
    </row>
    <row r="574">
      <c r="H574" s="187"/>
    </row>
    <row r="575">
      <c r="H575" s="187"/>
    </row>
    <row r="576">
      <c r="H576" s="187"/>
    </row>
    <row r="577">
      <c r="H577" s="187"/>
    </row>
    <row r="578">
      <c r="H578" s="187"/>
    </row>
    <row r="579">
      <c r="H579" s="187"/>
    </row>
    <row r="580">
      <c r="H580" s="187"/>
    </row>
    <row r="581">
      <c r="H581" s="187"/>
    </row>
    <row r="582">
      <c r="H582" s="187"/>
    </row>
    <row r="583">
      <c r="H583" s="187"/>
    </row>
    <row r="584">
      <c r="H584" s="187"/>
    </row>
    <row r="585">
      <c r="H585" s="187"/>
    </row>
    <row r="586">
      <c r="H586" s="187"/>
    </row>
    <row r="587">
      <c r="H587" s="187"/>
    </row>
    <row r="588">
      <c r="H588" s="187"/>
    </row>
    <row r="589">
      <c r="H589" s="187"/>
    </row>
    <row r="590">
      <c r="H590" s="187"/>
    </row>
    <row r="591">
      <c r="H591" s="187"/>
    </row>
    <row r="592">
      <c r="H592" s="187"/>
    </row>
    <row r="593">
      <c r="H593" s="187"/>
    </row>
    <row r="594">
      <c r="H594" s="187"/>
    </row>
    <row r="595">
      <c r="H595" s="187"/>
    </row>
    <row r="596">
      <c r="H596" s="187"/>
    </row>
    <row r="597">
      <c r="H597" s="187"/>
    </row>
    <row r="598">
      <c r="H598" s="187"/>
    </row>
    <row r="599">
      <c r="H599" s="187"/>
    </row>
    <row r="600">
      <c r="H600" s="187"/>
    </row>
    <row r="601">
      <c r="H601" s="187"/>
    </row>
    <row r="602">
      <c r="H602" s="187"/>
    </row>
    <row r="603">
      <c r="H603" s="187"/>
    </row>
    <row r="604">
      <c r="H604" s="187"/>
    </row>
    <row r="605">
      <c r="H605" s="187"/>
    </row>
    <row r="606">
      <c r="H606" s="187"/>
    </row>
    <row r="607">
      <c r="H607" s="187"/>
    </row>
    <row r="608">
      <c r="H608" s="187"/>
    </row>
    <row r="609">
      <c r="H609" s="187"/>
    </row>
    <row r="610">
      <c r="H610" s="187"/>
    </row>
    <row r="611">
      <c r="H611" s="187"/>
    </row>
    <row r="612">
      <c r="H612" s="187"/>
    </row>
    <row r="613">
      <c r="H613" s="187"/>
    </row>
    <row r="614">
      <c r="H614" s="187"/>
    </row>
    <row r="615">
      <c r="H615" s="187"/>
    </row>
    <row r="616">
      <c r="H616" s="187"/>
    </row>
    <row r="617">
      <c r="H617" s="187"/>
    </row>
    <row r="618">
      <c r="H618" s="187"/>
    </row>
    <row r="619">
      <c r="H619" s="187"/>
    </row>
    <row r="620">
      <c r="H620" s="187"/>
    </row>
    <row r="621">
      <c r="H621" s="187"/>
    </row>
    <row r="622">
      <c r="H622" s="187"/>
    </row>
    <row r="623">
      <c r="H623" s="187"/>
    </row>
    <row r="624">
      <c r="H624" s="187"/>
    </row>
    <row r="625">
      <c r="H625" s="187"/>
    </row>
    <row r="626">
      <c r="H626" s="187"/>
    </row>
    <row r="627">
      <c r="H627" s="187"/>
    </row>
    <row r="628">
      <c r="H628" s="187"/>
    </row>
    <row r="629">
      <c r="H629" s="187"/>
    </row>
    <row r="630">
      <c r="H630" s="187"/>
    </row>
    <row r="631">
      <c r="H631" s="187"/>
    </row>
    <row r="632">
      <c r="H632" s="187"/>
    </row>
    <row r="633">
      <c r="H633" s="187"/>
    </row>
    <row r="634">
      <c r="H634" s="187"/>
    </row>
    <row r="635">
      <c r="H635" s="187"/>
    </row>
    <row r="636">
      <c r="H636" s="187"/>
    </row>
    <row r="637">
      <c r="H637" s="187"/>
    </row>
    <row r="638">
      <c r="H638" s="187"/>
    </row>
    <row r="639">
      <c r="H639" s="187"/>
    </row>
    <row r="640">
      <c r="H640" s="187"/>
    </row>
    <row r="641">
      <c r="H641" s="187"/>
    </row>
    <row r="642">
      <c r="H642" s="187"/>
    </row>
    <row r="643">
      <c r="H643" s="187"/>
    </row>
    <row r="644">
      <c r="H644" s="187"/>
    </row>
    <row r="645">
      <c r="H645" s="187"/>
    </row>
    <row r="646">
      <c r="H646" s="187"/>
    </row>
    <row r="647">
      <c r="H647" s="187"/>
    </row>
    <row r="648">
      <c r="H648" s="187"/>
    </row>
    <row r="649">
      <c r="H649" s="187"/>
    </row>
    <row r="650">
      <c r="H650" s="187"/>
    </row>
    <row r="651">
      <c r="H651" s="187"/>
    </row>
    <row r="652">
      <c r="H652" s="187"/>
    </row>
    <row r="653">
      <c r="H653" s="187"/>
    </row>
    <row r="654">
      <c r="H654" s="187"/>
    </row>
    <row r="655">
      <c r="H655" s="187"/>
    </row>
    <row r="656">
      <c r="H656" s="187"/>
    </row>
    <row r="657">
      <c r="H657" s="187"/>
    </row>
    <row r="658">
      <c r="H658" s="187"/>
    </row>
    <row r="659">
      <c r="H659" s="187"/>
    </row>
    <row r="660">
      <c r="H660" s="187"/>
    </row>
    <row r="661">
      <c r="H661" s="187"/>
    </row>
    <row r="662">
      <c r="H662" s="187"/>
    </row>
    <row r="663">
      <c r="H663" s="187"/>
    </row>
    <row r="664">
      <c r="H664" s="187"/>
    </row>
    <row r="665">
      <c r="H665" s="187"/>
    </row>
    <row r="666">
      <c r="H666" s="187"/>
    </row>
    <row r="667">
      <c r="H667" s="187"/>
    </row>
    <row r="668">
      <c r="H668" s="187"/>
    </row>
    <row r="669">
      <c r="H669" s="187"/>
    </row>
    <row r="670">
      <c r="H670" s="187"/>
    </row>
    <row r="671">
      <c r="H671" s="187"/>
    </row>
    <row r="672">
      <c r="H672" s="187"/>
    </row>
    <row r="673">
      <c r="H673" s="187"/>
    </row>
    <row r="674">
      <c r="H674" s="187"/>
    </row>
    <row r="675">
      <c r="H675" s="187"/>
    </row>
    <row r="676">
      <c r="H676" s="187"/>
    </row>
    <row r="677">
      <c r="H677" s="187"/>
    </row>
    <row r="678">
      <c r="H678" s="187"/>
    </row>
    <row r="679">
      <c r="H679" s="187"/>
    </row>
    <row r="680">
      <c r="H680" s="187"/>
    </row>
    <row r="681">
      <c r="H681" s="187"/>
    </row>
    <row r="682">
      <c r="H682" s="187"/>
    </row>
    <row r="683">
      <c r="H683" s="187"/>
    </row>
    <row r="684">
      <c r="H684" s="187"/>
    </row>
    <row r="685">
      <c r="H685" s="187"/>
    </row>
    <row r="686">
      <c r="H686" s="187"/>
    </row>
    <row r="687">
      <c r="H687" s="187"/>
    </row>
    <row r="688">
      <c r="H688" s="187"/>
    </row>
    <row r="689">
      <c r="H689" s="187"/>
    </row>
    <row r="690">
      <c r="H690" s="187"/>
    </row>
    <row r="691">
      <c r="H691" s="187"/>
    </row>
    <row r="692">
      <c r="H692" s="187"/>
    </row>
    <row r="693">
      <c r="H693" s="187"/>
    </row>
    <row r="694">
      <c r="H694" s="187"/>
    </row>
    <row r="695">
      <c r="H695" s="187"/>
    </row>
    <row r="696">
      <c r="H696" s="187"/>
    </row>
    <row r="697">
      <c r="H697" s="187"/>
    </row>
    <row r="698">
      <c r="H698" s="187"/>
    </row>
    <row r="699">
      <c r="H699" s="187"/>
    </row>
    <row r="700">
      <c r="H700" s="187"/>
    </row>
    <row r="701">
      <c r="H701" s="187"/>
    </row>
    <row r="702">
      <c r="H702" s="187"/>
    </row>
    <row r="703">
      <c r="H703" s="187"/>
    </row>
    <row r="704">
      <c r="H704" s="187"/>
    </row>
    <row r="705">
      <c r="H705" s="187"/>
    </row>
    <row r="706">
      <c r="H706" s="187"/>
    </row>
    <row r="707">
      <c r="H707" s="187"/>
    </row>
    <row r="708">
      <c r="H708" s="187"/>
    </row>
    <row r="709">
      <c r="H709" s="187"/>
    </row>
    <row r="710">
      <c r="H710" s="187"/>
    </row>
    <row r="711">
      <c r="H711" s="187"/>
    </row>
    <row r="712">
      <c r="H712" s="187"/>
    </row>
    <row r="713">
      <c r="H713" s="187"/>
    </row>
    <row r="714">
      <c r="H714" s="187"/>
    </row>
    <row r="715">
      <c r="H715" s="187"/>
    </row>
    <row r="716">
      <c r="H716" s="187"/>
    </row>
    <row r="717">
      <c r="H717" s="187"/>
    </row>
    <row r="718">
      <c r="H718" s="187"/>
    </row>
    <row r="719">
      <c r="H719" s="187"/>
    </row>
    <row r="720">
      <c r="H720" s="187"/>
    </row>
    <row r="721">
      <c r="H721" s="187"/>
    </row>
    <row r="722">
      <c r="H722" s="187"/>
    </row>
    <row r="723">
      <c r="H723" s="187"/>
    </row>
    <row r="724">
      <c r="H724" s="187"/>
    </row>
    <row r="725">
      <c r="H725" s="187"/>
    </row>
    <row r="726">
      <c r="H726" s="187"/>
    </row>
    <row r="727">
      <c r="H727" s="187"/>
    </row>
    <row r="728">
      <c r="H728" s="187"/>
    </row>
    <row r="729">
      <c r="H729" s="187"/>
    </row>
    <row r="730">
      <c r="H730" s="187"/>
    </row>
    <row r="731">
      <c r="H731" s="187"/>
    </row>
    <row r="732">
      <c r="H732" s="187"/>
    </row>
    <row r="733">
      <c r="H733" s="187"/>
    </row>
    <row r="734">
      <c r="H734" s="187"/>
    </row>
    <row r="735">
      <c r="H735" s="187"/>
    </row>
    <row r="736">
      <c r="H736" s="187"/>
    </row>
    <row r="737">
      <c r="H737" s="187"/>
    </row>
    <row r="738">
      <c r="H738" s="187"/>
    </row>
    <row r="739">
      <c r="H739" s="187"/>
    </row>
    <row r="740">
      <c r="H740" s="187"/>
    </row>
    <row r="741">
      <c r="H741" s="187"/>
    </row>
    <row r="742">
      <c r="H742" s="187"/>
    </row>
    <row r="743">
      <c r="H743" s="187"/>
    </row>
    <row r="744">
      <c r="H744" s="187"/>
    </row>
    <row r="745">
      <c r="H745" s="187"/>
    </row>
    <row r="746">
      <c r="H746" s="187"/>
    </row>
    <row r="747">
      <c r="H747" s="187"/>
    </row>
    <row r="748">
      <c r="H748" s="187"/>
    </row>
    <row r="749">
      <c r="H749" s="187"/>
    </row>
    <row r="750">
      <c r="H750" s="187"/>
    </row>
    <row r="751">
      <c r="H751" s="187"/>
    </row>
    <row r="752">
      <c r="H752" s="187"/>
    </row>
    <row r="753">
      <c r="H753" s="187"/>
    </row>
    <row r="754">
      <c r="H754" s="187"/>
    </row>
    <row r="755">
      <c r="H755" s="187"/>
    </row>
    <row r="756">
      <c r="H756" s="187"/>
    </row>
    <row r="757">
      <c r="H757" s="187"/>
    </row>
    <row r="758">
      <c r="H758" s="187"/>
    </row>
    <row r="759">
      <c r="H759" s="187"/>
    </row>
    <row r="760">
      <c r="H760" s="187"/>
    </row>
    <row r="761">
      <c r="H761" s="187"/>
    </row>
    <row r="762">
      <c r="H762" s="187"/>
    </row>
    <row r="763">
      <c r="H763" s="187"/>
    </row>
    <row r="764">
      <c r="H764" s="187"/>
    </row>
    <row r="765">
      <c r="H765" s="187"/>
    </row>
    <row r="766">
      <c r="H766" s="187"/>
    </row>
    <row r="767">
      <c r="H767" s="187"/>
    </row>
    <row r="768">
      <c r="H768" s="187"/>
    </row>
    <row r="769">
      <c r="H769" s="187"/>
    </row>
    <row r="770">
      <c r="H770" s="187"/>
    </row>
    <row r="771">
      <c r="H771" s="187"/>
    </row>
    <row r="772">
      <c r="H772" s="187"/>
    </row>
    <row r="773">
      <c r="H773" s="187"/>
    </row>
    <row r="774">
      <c r="H774" s="187"/>
    </row>
    <row r="775">
      <c r="H775" s="187"/>
    </row>
    <row r="776">
      <c r="H776" s="187"/>
    </row>
    <row r="777">
      <c r="H777" s="187"/>
    </row>
    <row r="778">
      <c r="H778" s="187"/>
    </row>
    <row r="779">
      <c r="H779" s="187"/>
    </row>
    <row r="780">
      <c r="H780" s="187"/>
    </row>
    <row r="781">
      <c r="H781" s="187"/>
    </row>
    <row r="782">
      <c r="H782" s="187"/>
    </row>
    <row r="783">
      <c r="H783" s="187"/>
    </row>
    <row r="784">
      <c r="H784" s="187"/>
    </row>
    <row r="785">
      <c r="H785" s="187"/>
    </row>
    <row r="786">
      <c r="H786" s="187"/>
    </row>
    <row r="787">
      <c r="H787" s="187"/>
    </row>
    <row r="788">
      <c r="H788" s="187"/>
    </row>
    <row r="789">
      <c r="H789" s="187"/>
    </row>
    <row r="790">
      <c r="H790" s="187"/>
    </row>
    <row r="791">
      <c r="H791" s="187"/>
    </row>
    <row r="792">
      <c r="H792" s="187"/>
    </row>
    <row r="793">
      <c r="H793" s="187"/>
    </row>
    <row r="794">
      <c r="H794" s="187"/>
    </row>
    <row r="795">
      <c r="H795" s="187"/>
    </row>
    <row r="796">
      <c r="H796" s="187"/>
    </row>
    <row r="797">
      <c r="H797" s="187"/>
    </row>
    <row r="798">
      <c r="H798" s="187"/>
    </row>
    <row r="799">
      <c r="H799" s="187"/>
    </row>
    <row r="800">
      <c r="H800" s="187"/>
    </row>
    <row r="801">
      <c r="H801" s="187"/>
    </row>
    <row r="802">
      <c r="H802" s="187"/>
    </row>
    <row r="803">
      <c r="H803" s="187"/>
    </row>
    <row r="804">
      <c r="H804" s="187"/>
    </row>
    <row r="805">
      <c r="H805" s="187"/>
    </row>
    <row r="806">
      <c r="H806" s="187"/>
    </row>
    <row r="807">
      <c r="H807" s="187"/>
    </row>
    <row r="808">
      <c r="H808" s="187"/>
    </row>
    <row r="809">
      <c r="H809" s="187"/>
    </row>
    <row r="810">
      <c r="H810" s="187"/>
    </row>
    <row r="811">
      <c r="H811" s="187"/>
    </row>
    <row r="812">
      <c r="H812" s="187"/>
    </row>
    <row r="813">
      <c r="H813" s="187"/>
    </row>
    <row r="814">
      <c r="H814" s="187"/>
    </row>
    <row r="815">
      <c r="H815" s="187"/>
    </row>
    <row r="816">
      <c r="H816" s="187"/>
    </row>
    <row r="817">
      <c r="H817" s="187"/>
    </row>
    <row r="818">
      <c r="H818" s="187"/>
    </row>
    <row r="819">
      <c r="H819" s="187"/>
    </row>
    <row r="820">
      <c r="H820" s="187"/>
    </row>
    <row r="821">
      <c r="H821" s="187"/>
    </row>
    <row r="822">
      <c r="H822" s="187"/>
    </row>
    <row r="823">
      <c r="H823" s="187"/>
    </row>
    <row r="824">
      <c r="H824" s="187"/>
    </row>
    <row r="825">
      <c r="H825" s="187"/>
    </row>
    <row r="826">
      <c r="H826" s="187"/>
    </row>
    <row r="827">
      <c r="H827" s="187"/>
    </row>
    <row r="828">
      <c r="H828" s="187"/>
    </row>
    <row r="829">
      <c r="H829" s="187"/>
    </row>
    <row r="830">
      <c r="H830" s="187"/>
    </row>
    <row r="831">
      <c r="H831" s="187"/>
    </row>
    <row r="832">
      <c r="H832" s="187"/>
    </row>
    <row r="833">
      <c r="H833" s="187"/>
    </row>
    <row r="834">
      <c r="H834" s="187"/>
    </row>
    <row r="835">
      <c r="H835" s="187"/>
    </row>
    <row r="836">
      <c r="H836" s="187"/>
    </row>
    <row r="837">
      <c r="H837" s="187"/>
    </row>
    <row r="838">
      <c r="H838" s="187"/>
    </row>
    <row r="839">
      <c r="H839" s="187"/>
    </row>
    <row r="840">
      <c r="H840" s="187"/>
    </row>
    <row r="841">
      <c r="H841" s="187"/>
    </row>
    <row r="842">
      <c r="H842" s="187"/>
    </row>
    <row r="843">
      <c r="H843" s="187"/>
    </row>
    <row r="844">
      <c r="H844" s="187"/>
    </row>
    <row r="845">
      <c r="H845" s="187"/>
    </row>
    <row r="846">
      <c r="H846" s="187"/>
    </row>
    <row r="847">
      <c r="H847" s="187"/>
    </row>
    <row r="848">
      <c r="H848" s="187"/>
    </row>
    <row r="849">
      <c r="H849" s="187"/>
    </row>
    <row r="850">
      <c r="H850" s="187"/>
    </row>
    <row r="851">
      <c r="H851" s="187"/>
    </row>
    <row r="852">
      <c r="H852" s="187"/>
    </row>
    <row r="853">
      <c r="H853" s="187"/>
    </row>
    <row r="854">
      <c r="H854" s="187"/>
    </row>
    <row r="855">
      <c r="H855" s="187"/>
    </row>
    <row r="856">
      <c r="H856" s="187"/>
    </row>
    <row r="857">
      <c r="H857" s="187"/>
    </row>
    <row r="858">
      <c r="H858" s="187"/>
    </row>
    <row r="859">
      <c r="H859" s="187"/>
    </row>
    <row r="860">
      <c r="H860" s="187"/>
    </row>
    <row r="861">
      <c r="H861" s="187"/>
    </row>
    <row r="862">
      <c r="H862" s="187"/>
    </row>
    <row r="863">
      <c r="H863" s="187"/>
    </row>
    <row r="864">
      <c r="H864" s="187"/>
    </row>
    <row r="865">
      <c r="H865" s="187"/>
    </row>
    <row r="866">
      <c r="H866" s="187"/>
    </row>
    <row r="867">
      <c r="H867" s="187"/>
    </row>
    <row r="868">
      <c r="H868" s="187"/>
    </row>
    <row r="869">
      <c r="H869" s="187"/>
    </row>
    <row r="870">
      <c r="H870" s="187"/>
    </row>
    <row r="871">
      <c r="H871" s="187"/>
    </row>
    <row r="872">
      <c r="H872" s="187"/>
    </row>
    <row r="873">
      <c r="H873" s="187"/>
    </row>
    <row r="874">
      <c r="H874" s="187"/>
    </row>
    <row r="875">
      <c r="H875" s="187"/>
    </row>
    <row r="876">
      <c r="H876" s="187"/>
    </row>
    <row r="877">
      <c r="H877" s="187"/>
    </row>
    <row r="878">
      <c r="H878" s="187"/>
    </row>
    <row r="879">
      <c r="H879" s="187"/>
    </row>
    <row r="880">
      <c r="H880" s="187"/>
    </row>
    <row r="881">
      <c r="H881" s="187"/>
    </row>
    <row r="882">
      <c r="H882" s="187"/>
    </row>
    <row r="883">
      <c r="H883" s="187"/>
    </row>
    <row r="884">
      <c r="H884" s="187"/>
    </row>
    <row r="885">
      <c r="H885" s="187"/>
    </row>
    <row r="886">
      <c r="H886" s="187"/>
    </row>
    <row r="887">
      <c r="H887" s="187"/>
    </row>
    <row r="888">
      <c r="H888" s="187"/>
    </row>
    <row r="889">
      <c r="H889" s="187"/>
    </row>
    <row r="890">
      <c r="H890" s="187"/>
    </row>
    <row r="891">
      <c r="H891" s="187"/>
    </row>
    <row r="892">
      <c r="H892" s="187"/>
    </row>
    <row r="893">
      <c r="H893" s="187"/>
    </row>
    <row r="894">
      <c r="H894" s="187"/>
    </row>
    <row r="895">
      <c r="H895" s="187"/>
    </row>
    <row r="896">
      <c r="H896" s="187"/>
    </row>
    <row r="897">
      <c r="H897" s="187"/>
    </row>
    <row r="898">
      <c r="H898" s="187"/>
    </row>
    <row r="899">
      <c r="H899" s="187"/>
    </row>
    <row r="900">
      <c r="H900" s="187"/>
    </row>
    <row r="901">
      <c r="H901" s="187"/>
    </row>
    <row r="902">
      <c r="H902" s="187"/>
    </row>
    <row r="903">
      <c r="H903" s="187"/>
    </row>
    <row r="904">
      <c r="H904" s="187"/>
    </row>
    <row r="905">
      <c r="H905" s="187"/>
    </row>
    <row r="906">
      <c r="H906" s="187"/>
    </row>
    <row r="907">
      <c r="H907" s="187"/>
    </row>
    <row r="908">
      <c r="H908" s="187"/>
    </row>
    <row r="909">
      <c r="H909" s="187"/>
    </row>
    <row r="910">
      <c r="H910" s="187"/>
    </row>
    <row r="911">
      <c r="H911" s="187"/>
    </row>
    <row r="912">
      <c r="H912" s="187"/>
    </row>
    <row r="913">
      <c r="H913" s="187"/>
    </row>
    <row r="914">
      <c r="H914" s="187"/>
    </row>
    <row r="915">
      <c r="H915" s="187"/>
    </row>
    <row r="916">
      <c r="H916" s="187"/>
    </row>
    <row r="917">
      <c r="H917" s="187"/>
    </row>
    <row r="918">
      <c r="H918" s="187"/>
    </row>
    <row r="919">
      <c r="H919" s="187"/>
    </row>
    <row r="920">
      <c r="H920" s="187"/>
    </row>
    <row r="921">
      <c r="H921" s="187"/>
    </row>
    <row r="922">
      <c r="H922" s="187"/>
    </row>
    <row r="923">
      <c r="H923" s="187"/>
    </row>
    <row r="924">
      <c r="H924" s="187"/>
    </row>
    <row r="925">
      <c r="H925" s="187"/>
    </row>
    <row r="926">
      <c r="H926" s="187"/>
    </row>
    <row r="927">
      <c r="H927" s="187"/>
    </row>
    <row r="928">
      <c r="H928" s="187"/>
    </row>
    <row r="929">
      <c r="H929" s="187"/>
    </row>
    <row r="930">
      <c r="H930" s="187"/>
    </row>
    <row r="931">
      <c r="H931" s="187"/>
    </row>
    <row r="932">
      <c r="H932" s="187"/>
    </row>
    <row r="933">
      <c r="H933" s="187"/>
    </row>
    <row r="934">
      <c r="H934" s="187"/>
    </row>
    <row r="935">
      <c r="H935" s="187"/>
    </row>
    <row r="936">
      <c r="H936" s="187"/>
    </row>
    <row r="937">
      <c r="H937" s="187"/>
    </row>
    <row r="938">
      <c r="H938" s="187"/>
    </row>
    <row r="939">
      <c r="H939" s="187"/>
    </row>
    <row r="940">
      <c r="H940" s="187"/>
    </row>
    <row r="941">
      <c r="H941" s="187"/>
    </row>
    <row r="942">
      <c r="H942" s="187"/>
    </row>
    <row r="943">
      <c r="H943" s="187"/>
    </row>
    <row r="944">
      <c r="H944" s="187"/>
    </row>
    <row r="945">
      <c r="H945" s="187"/>
    </row>
    <row r="946">
      <c r="H946" s="187"/>
    </row>
    <row r="947">
      <c r="H947" s="187"/>
    </row>
    <row r="948">
      <c r="H948" s="187"/>
    </row>
    <row r="949">
      <c r="H949" s="187"/>
    </row>
    <row r="950">
      <c r="H950" s="187"/>
    </row>
    <row r="951">
      <c r="H951" s="187"/>
    </row>
    <row r="952">
      <c r="H952" s="187"/>
    </row>
    <row r="953">
      <c r="H953" s="187"/>
    </row>
    <row r="954">
      <c r="H954" s="187"/>
    </row>
    <row r="955">
      <c r="H955" s="187"/>
    </row>
    <row r="956">
      <c r="H956" s="187"/>
    </row>
    <row r="957">
      <c r="H957" s="187"/>
    </row>
    <row r="958">
      <c r="H958" s="187"/>
    </row>
    <row r="959">
      <c r="H959" s="187"/>
    </row>
    <row r="960">
      <c r="H960" s="187"/>
    </row>
    <row r="961">
      <c r="H961" s="187"/>
    </row>
    <row r="962">
      <c r="H962" s="187"/>
    </row>
    <row r="963">
      <c r="H963" s="187"/>
    </row>
    <row r="964">
      <c r="H964" s="187"/>
    </row>
    <row r="965">
      <c r="H965" s="187"/>
    </row>
    <row r="966">
      <c r="H966" s="187"/>
    </row>
    <row r="967">
      <c r="H967" s="187"/>
    </row>
    <row r="968">
      <c r="H968" s="187"/>
    </row>
    <row r="969">
      <c r="H969" s="187"/>
    </row>
    <row r="970">
      <c r="H970" s="187"/>
    </row>
    <row r="971">
      <c r="H971" s="187"/>
    </row>
    <row r="972">
      <c r="H972" s="187"/>
    </row>
    <row r="973">
      <c r="H973" s="187"/>
    </row>
    <row r="974">
      <c r="H974" s="187"/>
    </row>
    <row r="975">
      <c r="H975" s="187"/>
    </row>
    <row r="976">
      <c r="H976" s="187"/>
    </row>
    <row r="977">
      <c r="H977" s="187"/>
    </row>
    <row r="978">
      <c r="H978" s="187"/>
    </row>
    <row r="979">
      <c r="H979" s="187"/>
    </row>
    <row r="980">
      <c r="H980" s="187"/>
    </row>
    <row r="981">
      <c r="H981" s="187"/>
    </row>
    <row r="982">
      <c r="H982" s="187"/>
    </row>
    <row r="983">
      <c r="H983" s="187"/>
    </row>
    <row r="984">
      <c r="H984" s="187"/>
    </row>
    <row r="985">
      <c r="H985" s="187"/>
    </row>
    <row r="986">
      <c r="H986" s="187"/>
    </row>
    <row r="987">
      <c r="H987" s="187"/>
    </row>
    <row r="988">
      <c r="H988" s="187"/>
    </row>
    <row r="989">
      <c r="H989" s="187"/>
    </row>
    <row r="990">
      <c r="H990" s="187"/>
    </row>
    <row r="991">
      <c r="H991" s="187"/>
    </row>
    <row r="992">
      <c r="H992" s="187"/>
    </row>
    <row r="993">
      <c r="H993" s="187"/>
    </row>
    <row r="994">
      <c r="H994" s="187"/>
    </row>
    <row r="995">
      <c r="H995" s="187"/>
    </row>
    <row r="996">
      <c r="H996" s="187"/>
    </row>
    <row r="997">
      <c r="H997" s="187"/>
    </row>
    <row r="998">
      <c r="H998" s="187"/>
    </row>
    <row r="999">
      <c r="H999" s="187"/>
    </row>
    <row r="1000">
      <c r="H1000" s="187"/>
    </row>
    <row r="1001">
      <c r="H1001" s="187"/>
    </row>
    <row r="1002">
      <c r="H1002" s="187"/>
    </row>
    <row r="1003">
      <c r="H1003" s="187"/>
    </row>
    <row r="1004">
      <c r="H1004" s="187"/>
    </row>
    <row r="1005">
      <c r="H1005" s="187"/>
    </row>
    <row r="1006">
      <c r="H1006" s="187"/>
    </row>
    <row r="1007">
      <c r="H1007" s="187"/>
    </row>
    <row r="1008">
      <c r="H1008" s="187"/>
    </row>
    <row r="1009">
      <c r="H1009" s="187"/>
    </row>
    <row r="1010">
      <c r="H1010" s="187"/>
    </row>
    <row r="1011">
      <c r="H1011" s="187"/>
    </row>
    <row r="1012">
      <c r="H1012" s="187"/>
    </row>
    <row r="1013">
      <c r="H1013" s="187"/>
    </row>
    <row r="1014">
      <c r="H1014" s="187"/>
    </row>
  </sheetData>
  <hyperlinks>
    <hyperlink r:id="rId1" ref="B5"/>
    <hyperlink r:id="rId2" ref="B9"/>
  </hyperlin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0.88"/>
    <col customWidth="1" min="11" max="11" width="13.88"/>
    <col customWidth="1" min="13" max="13" width="16.13"/>
  </cols>
  <sheetData>
    <row r="1">
      <c r="A1" s="189"/>
      <c r="B1" s="148" t="s">
        <v>387</v>
      </c>
      <c r="C1" s="190" t="s">
        <v>388</v>
      </c>
      <c r="D1" s="190" t="s">
        <v>389</v>
      </c>
      <c r="E1" s="148" t="s">
        <v>267</v>
      </c>
      <c r="F1" s="148" t="s">
        <v>268</v>
      </c>
      <c r="G1" s="148" t="s">
        <v>269</v>
      </c>
      <c r="H1" s="148" t="s">
        <v>245</v>
      </c>
      <c r="I1" s="148" t="s">
        <v>270</v>
      </c>
      <c r="J1" s="148" t="s">
        <v>271</v>
      </c>
      <c r="K1" s="149" t="s">
        <v>260</v>
      </c>
      <c r="L1" s="149" t="s">
        <v>272</v>
      </c>
      <c r="M1" s="1"/>
    </row>
    <row r="2">
      <c r="A2" s="191" t="s">
        <v>42</v>
      </c>
      <c r="B2" s="192" t="s">
        <v>390</v>
      </c>
      <c r="C2" s="193">
        <v>44960.0</v>
      </c>
      <c r="D2" s="194">
        <v>0.81</v>
      </c>
      <c r="E2" s="195">
        <v>9.0</v>
      </c>
      <c r="F2" s="196">
        <v>0.0455</v>
      </c>
      <c r="G2" s="197">
        <v>1.0549</v>
      </c>
      <c r="H2" s="196">
        <v>0.2771</v>
      </c>
      <c r="I2" s="198">
        <v>0.89</v>
      </c>
      <c r="J2" s="198">
        <v>12.64</v>
      </c>
      <c r="K2" s="199">
        <v>13.16</v>
      </c>
      <c r="L2" s="83" t="s">
        <v>330</v>
      </c>
      <c r="M2" s="1"/>
    </row>
    <row r="3">
      <c r="A3" s="191" t="s">
        <v>40</v>
      </c>
      <c r="B3" s="192" t="s">
        <v>391</v>
      </c>
      <c r="C3" s="200"/>
      <c r="D3" s="200"/>
      <c r="E3" s="165">
        <v>40.0</v>
      </c>
      <c r="F3" s="201">
        <v>0.0325</v>
      </c>
      <c r="G3" s="196">
        <v>0.274</v>
      </c>
      <c r="H3" s="196">
        <v>0.2696</v>
      </c>
      <c r="I3" s="202">
        <v>1.07</v>
      </c>
      <c r="J3" s="202">
        <v>8.43</v>
      </c>
      <c r="K3" s="197">
        <v>0.0164</v>
      </c>
      <c r="L3" s="83" t="s">
        <v>392</v>
      </c>
      <c r="M3" s="1"/>
    </row>
    <row r="4">
      <c r="A4" s="191" t="s">
        <v>18</v>
      </c>
      <c r="B4" s="192" t="s">
        <v>393</v>
      </c>
      <c r="C4" s="203">
        <v>44950.0</v>
      </c>
      <c r="D4" s="204">
        <v>12.4</v>
      </c>
      <c r="E4" s="162">
        <v>0.0</v>
      </c>
      <c r="F4" s="201">
        <v>0.0309</v>
      </c>
      <c r="G4" s="196">
        <v>0.2144</v>
      </c>
      <c r="H4" s="197">
        <v>0.0296</v>
      </c>
      <c r="I4" s="202">
        <v>1.01</v>
      </c>
      <c r="J4" s="202">
        <v>27.11</v>
      </c>
      <c r="K4" s="197">
        <v>0.0571</v>
      </c>
      <c r="L4" s="83" t="s">
        <v>394</v>
      </c>
      <c r="M4" s="1"/>
    </row>
    <row r="5">
      <c r="A5" s="191" t="s">
        <v>24</v>
      </c>
      <c r="B5" s="192" t="s">
        <v>25</v>
      </c>
      <c r="C5" s="203">
        <v>44945.0</v>
      </c>
      <c r="D5" s="205">
        <f>113.67/4</f>
        <v>28.4175</v>
      </c>
      <c r="E5" s="162">
        <v>1.0</v>
      </c>
      <c r="F5" s="201">
        <v>0.027</v>
      </c>
      <c r="G5" s="206">
        <f>(2.7/3.12)</f>
        <v>0.8653846154</v>
      </c>
      <c r="H5" s="201">
        <v>0.0571</v>
      </c>
      <c r="I5" s="198">
        <v>0.62</v>
      </c>
      <c r="J5" s="202">
        <v>28.73</v>
      </c>
      <c r="K5" s="201">
        <v>-0.0075</v>
      </c>
      <c r="L5" s="83" t="s">
        <v>395</v>
      </c>
      <c r="M5" s="1"/>
    </row>
    <row r="6">
      <c r="A6" s="191" t="s">
        <v>26</v>
      </c>
      <c r="B6" s="192" t="s">
        <v>396</v>
      </c>
      <c r="C6" s="207">
        <v>44985.0</v>
      </c>
      <c r="D6" s="204">
        <v>0.4</v>
      </c>
      <c r="E6" s="162">
        <v>2.0</v>
      </c>
      <c r="F6" s="196">
        <v>0.065</v>
      </c>
      <c r="G6" s="196">
        <v>0.112</v>
      </c>
      <c r="H6" s="84" t="s">
        <v>397</v>
      </c>
      <c r="I6" s="198">
        <v>0.72</v>
      </c>
      <c r="J6" s="198">
        <v>3.5</v>
      </c>
      <c r="K6" s="197">
        <v>0.0227</v>
      </c>
      <c r="L6" s="83" t="s">
        <v>398</v>
      </c>
      <c r="M6" s="1"/>
    </row>
    <row r="7">
      <c r="A7" s="191" t="s">
        <v>32</v>
      </c>
      <c r="B7" s="192" t="s">
        <v>399</v>
      </c>
      <c r="C7" s="203">
        <v>44963.0</v>
      </c>
      <c r="D7" s="205">
        <v>0.6</v>
      </c>
      <c r="E7" s="162">
        <v>1.0</v>
      </c>
      <c r="F7" s="208">
        <v>0.0431</v>
      </c>
      <c r="G7" s="208">
        <v>0.07</v>
      </c>
      <c r="H7" s="208">
        <v>0.1566</v>
      </c>
      <c r="I7" s="202">
        <v>0.91</v>
      </c>
      <c r="J7" s="209">
        <v>2.24</v>
      </c>
      <c r="K7" s="197">
        <v>0.0016</v>
      </c>
      <c r="L7" s="83" t="s">
        <v>294</v>
      </c>
      <c r="M7" s="1"/>
    </row>
    <row r="8">
      <c r="A8" s="210" t="s">
        <v>400</v>
      </c>
      <c r="B8" s="192" t="s">
        <v>401</v>
      </c>
      <c r="C8" s="211"/>
      <c r="D8" s="211"/>
      <c r="E8" s="162">
        <v>0.0</v>
      </c>
      <c r="F8" s="196">
        <v>0.0639</v>
      </c>
      <c r="G8" s="196">
        <v>0.3903</v>
      </c>
      <c r="H8" s="196">
        <v>0.2994</v>
      </c>
      <c r="I8" s="199">
        <v>2.39</v>
      </c>
      <c r="J8" s="198">
        <v>5.85</v>
      </c>
      <c r="K8" s="196">
        <v>-0.015</v>
      </c>
      <c r="L8" s="83" t="s">
        <v>402</v>
      </c>
      <c r="M8" s="1"/>
    </row>
    <row r="9">
      <c r="A9" s="191" t="s">
        <v>46</v>
      </c>
      <c r="B9" s="192" t="s">
        <v>403</v>
      </c>
      <c r="C9" s="212">
        <v>45044.0</v>
      </c>
      <c r="D9" s="205">
        <v>2.8</v>
      </c>
      <c r="E9" s="165">
        <v>18.0</v>
      </c>
      <c r="F9" s="208">
        <v>0.0488</v>
      </c>
      <c r="G9" s="206">
        <f>2.8/2.98</f>
        <v>0.9395973154</v>
      </c>
      <c r="H9" s="196">
        <v>0.083</v>
      </c>
      <c r="I9" s="198">
        <v>0.72</v>
      </c>
      <c r="J9" s="198">
        <v>19.58</v>
      </c>
      <c r="K9" s="197">
        <v>0.0058</v>
      </c>
      <c r="L9" s="83" t="s">
        <v>369</v>
      </c>
      <c r="M9" s="1"/>
    </row>
    <row r="10">
      <c r="A10" s="191" t="s">
        <v>404</v>
      </c>
      <c r="B10" s="192" t="s">
        <v>405</v>
      </c>
      <c r="C10" s="211"/>
      <c r="D10" s="211"/>
      <c r="E10" s="162">
        <v>0.0</v>
      </c>
      <c r="F10" s="196">
        <v>0.1398</v>
      </c>
      <c r="G10" s="197">
        <v>0.9286</v>
      </c>
      <c r="H10" s="213">
        <v>0.45</v>
      </c>
      <c r="I10" s="199">
        <v>1.43</v>
      </c>
      <c r="J10" s="198">
        <v>8.68</v>
      </c>
      <c r="K10" s="199" t="s">
        <v>82</v>
      </c>
      <c r="L10" s="83" t="s">
        <v>406</v>
      </c>
      <c r="M10" s="1"/>
    </row>
    <row r="11">
      <c r="A11" s="191" t="s">
        <v>22</v>
      </c>
      <c r="B11" s="192" t="s">
        <v>407</v>
      </c>
      <c r="C11" s="203">
        <v>44985.0</v>
      </c>
      <c r="D11" s="204">
        <v>6.08</v>
      </c>
      <c r="E11" s="165">
        <v>30.0</v>
      </c>
      <c r="F11" s="201">
        <v>0.0228</v>
      </c>
      <c r="G11" s="201">
        <v>0.5196</v>
      </c>
      <c r="H11" s="196">
        <v>0.0807</v>
      </c>
      <c r="I11" s="198">
        <v>0.64</v>
      </c>
      <c r="J11" s="202">
        <v>32.06</v>
      </c>
      <c r="K11" s="196">
        <v>-0.014</v>
      </c>
      <c r="L11" s="83" t="s">
        <v>334</v>
      </c>
      <c r="M11" s="1"/>
    </row>
    <row r="12">
      <c r="A12" s="191" t="s">
        <v>30</v>
      </c>
      <c r="B12" s="192" t="s">
        <v>408</v>
      </c>
      <c r="C12" s="211"/>
      <c r="D12" s="211"/>
      <c r="E12" s="162">
        <v>1.0</v>
      </c>
      <c r="F12" s="196">
        <v>0.0975</v>
      </c>
      <c r="G12" s="196">
        <v>0.152</v>
      </c>
      <c r="H12" s="196">
        <v>0.1124</v>
      </c>
      <c r="I12" s="198">
        <v>0.25</v>
      </c>
      <c r="J12" s="198">
        <v>5.2</v>
      </c>
      <c r="K12" s="206">
        <f>(0.792-0.504)/0.792</f>
        <v>0.3636363636</v>
      </c>
      <c r="L12" s="83" t="s">
        <v>369</v>
      </c>
      <c r="M12" s="1"/>
    </row>
    <row r="13">
      <c r="A13" s="191" t="s">
        <v>213</v>
      </c>
      <c r="B13" s="192" t="s">
        <v>409</v>
      </c>
      <c r="C13" s="211"/>
      <c r="D13" s="211"/>
      <c r="E13" s="165">
        <v>51.0</v>
      </c>
      <c r="F13" s="201">
        <v>0.0262</v>
      </c>
      <c r="G13" s="197">
        <f>4.6/6.48</f>
        <v>0.7098765432</v>
      </c>
      <c r="H13" s="196">
        <v>0.0755</v>
      </c>
      <c r="I13" s="198">
        <v>0.55</v>
      </c>
      <c r="J13" s="202">
        <v>27.14</v>
      </c>
      <c r="K13" s="201">
        <v>-0.0043</v>
      </c>
      <c r="L13" s="83" t="s">
        <v>282</v>
      </c>
      <c r="M13" s="1"/>
    </row>
    <row r="14">
      <c r="A14" s="210" t="s">
        <v>44</v>
      </c>
      <c r="B14" s="192" t="s">
        <v>410</v>
      </c>
      <c r="C14" s="214"/>
      <c r="D14" s="214"/>
      <c r="E14" s="215">
        <v>40.0</v>
      </c>
      <c r="F14" s="201">
        <v>0.0243</v>
      </c>
      <c r="G14" s="196">
        <v>0.219</v>
      </c>
      <c r="H14" s="197">
        <v>0.0113</v>
      </c>
      <c r="I14" s="202">
        <v>0.93</v>
      </c>
      <c r="J14" s="216">
        <v>10.55</v>
      </c>
      <c r="K14" s="208">
        <v>-0.0577</v>
      </c>
      <c r="L14" s="217" t="s">
        <v>411</v>
      </c>
      <c r="M14" s="1"/>
    </row>
    <row r="15">
      <c r="A15" s="210" t="s">
        <v>283</v>
      </c>
      <c r="B15" s="192" t="s">
        <v>412</v>
      </c>
      <c r="C15" s="211"/>
      <c r="D15" s="211"/>
      <c r="E15" s="162">
        <v>2.0</v>
      </c>
      <c r="F15" s="218">
        <v>0.0578</v>
      </c>
      <c r="G15" s="218">
        <v>0.4947</v>
      </c>
      <c r="H15" s="218">
        <v>0.2</v>
      </c>
      <c r="I15" s="199">
        <v>1.19</v>
      </c>
      <c r="J15" s="219">
        <v>8.58</v>
      </c>
      <c r="K15" s="218">
        <v>-0.0833</v>
      </c>
      <c r="L15" s="83" t="s">
        <v>369</v>
      </c>
      <c r="M15" s="1"/>
    </row>
    <row r="16">
      <c r="A16" s="191" t="s">
        <v>413</v>
      </c>
      <c r="B16" s="192" t="s">
        <v>414</v>
      </c>
      <c r="C16" s="220">
        <v>44985.0</v>
      </c>
      <c r="D16" s="205">
        <f>0.2/4</f>
        <v>0.05</v>
      </c>
      <c r="E16" s="162">
        <v>1.0</v>
      </c>
      <c r="F16" s="196">
        <v>0.0615</v>
      </c>
      <c r="G16" s="196">
        <v>0.126</v>
      </c>
      <c r="H16" s="196">
        <v>0.14</v>
      </c>
      <c r="I16" s="202">
        <v>0.95</v>
      </c>
      <c r="J16" s="198">
        <v>2.05</v>
      </c>
      <c r="K16" s="196">
        <v>-0.0164</v>
      </c>
      <c r="L16" s="83" t="s">
        <v>415</v>
      </c>
      <c r="M16" s="1"/>
    </row>
    <row r="17">
      <c r="A17" s="210" t="s">
        <v>359</v>
      </c>
      <c r="B17" s="192" t="s">
        <v>416</v>
      </c>
      <c r="C17" s="221">
        <v>45013.0</v>
      </c>
      <c r="D17" s="204">
        <v>3.35</v>
      </c>
      <c r="E17" s="162">
        <v>0.0</v>
      </c>
      <c r="F17" s="201">
        <v>0.0381</v>
      </c>
      <c r="G17" s="196">
        <v>0.329</v>
      </c>
      <c r="H17" s="208">
        <v>0.1969</v>
      </c>
      <c r="I17" s="198">
        <v>0.89</v>
      </c>
      <c r="J17" s="209">
        <v>9.1</v>
      </c>
      <c r="K17" s="196">
        <v>-0.019</v>
      </c>
      <c r="L17" s="83" t="s">
        <v>417</v>
      </c>
      <c r="M17" s="1"/>
    </row>
    <row r="18">
      <c r="A18" s="210" t="s">
        <v>418</v>
      </c>
      <c r="B18" s="192" t="s">
        <v>419</v>
      </c>
      <c r="C18" s="211"/>
      <c r="D18" s="211"/>
      <c r="E18" s="155">
        <v>18.0</v>
      </c>
      <c r="F18" s="208">
        <v>0.0647</v>
      </c>
      <c r="G18" s="208">
        <v>0.5468</v>
      </c>
      <c r="H18" s="197">
        <v>0.0082</v>
      </c>
      <c r="I18" s="209">
        <v>0.35</v>
      </c>
      <c r="J18" s="209">
        <v>7.94</v>
      </c>
      <c r="K18" s="197">
        <v>0.0137</v>
      </c>
      <c r="L18" s="83" t="s">
        <v>369</v>
      </c>
      <c r="M18" s="1"/>
    </row>
    <row r="19">
      <c r="A19" s="191" t="s">
        <v>202</v>
      </c>
      <c r="B19" s="222" t="s">
        <v>420</v>
      </c>
      <c r="C19" s="211"/>
      <c r="D19" s="211"/>
      <c r="E19" s="165">
        <v>30.0</v>
      </c>
      <c r="F19" s="197">
        <v>0.0195</v>
      </c>
      <c r="G19" s="196">
        <f>4.8/12.65</f>
        <v>0.3794466403</v>
      </c>
      <c r="H19" s="196">
        <v>0.1322</v>
      </c>
      <c r="I19" s="223">
        <v>1.1</v>
      </c>
      <c r="J19" s="198">
        <v>19.32</v>
      </c>
      <c r="K19" s="196">
        <v>-0.033</v>
      </c>
      <c r="L19" s="83" t="s">
        <v>415</v>
      </c>
      <c r="M19" s="1"/>
    </row>
    <row r="20">
      <c r="A20" s="191" t="s">
        <v>421</v>
      </c>
      <c r="B20" s="192" t="s">
        <v>422</v>
      </c>
      <c r="C20" s="211"/>
      <c r="D20" s="211"/>
      <c r="E20" s="155">
        <v>28.0</v>
      </c>
      <c r="F20" s="201">
        <v>0.029</v>
      </c>
      <c r="G20" s="197">
        <v>0.7857</v>
      </c>
      <c r="H20" s="201">
        <v>0.0545</v>
      </c>
      <c r="I20" s="209">
        <v>0.54</v>
      </c>
      <c r="J20" s="202">
        <v>25.96</v>
      </c>
      <c r="K20" s="197">
        <v>0.0022</v>
      </c>
      <c r="L20" s="83" t="s">
        <v>308</v>
      </c>
      <c r="M20" s="1"/>
    </row>
    <row r="21">
      <c r="A21" s="191" t="s">
        <v>20</v>
      </c>
      <c r="B21" s="192" t="s">
        <v>328</v>
      </c>
      <c r="C21" s="224"/>
      <c r="D21" s="225"/>
      <c r="E21" s="168">
        <v>27.0</v>
      </c>
      <c r="F21" s="113">
        <v>2.79</v>
      </c>
      <c r="G21" s="165">
        <v>29.28</v>
      </c>
      <c r="H21" s="162">
        <v>-0.99</v>
      </c>
      <c r="I21" s="162">
        <v>1.12</v>
      </c>
      <c r="J21" s="165">
        <v>11.85</v>
      </c>
      <c r="K21" s="165">
        <v>-0.197</v>
      </c>
      <c r="L21" s="83" t="s">
        <v>330</v>
      </c>
      <c r="M21" s="1"/>
    </row>
    <row r="22">
      <c r="A22" s="226"/>
      <c r="B22" s="226"/>
      <c r="C22" s="226"/>
      <c r="D22" s="226"/>
      <c r="E22" s="227"/>
      <c r="F22" s="228">
        <f>AVERAGE(F2:F20)</f>
        <v>0.04936315789</v>
      </c>
      <c r="G22" s="226"/>
      <c r="H22" s="226"/>
      <c r="I22" s="226"/>
      <c r="J22" s="226"/>
      <c r="K22" s="229" t="s">
        <v>423</v>
      </c>
      <c r="L22" s="229" t="s">
        <v>424</v>
      </c>
      <c r="M22" s="229" t="s">
        <v>425</v>
      </c>
    </row>
    <row r="23">
      <c r="A23" s="106" t="s">
        <v>230</v>
      </c>
      <c r="B23" s="4" t="s">
        <v>231</v>
      </c>
      <c r="C23" s="4"/>
      <c r="D23" s="4"/>
      <c r="E23" s="4"/>
      <c r="F23" s="4"/>
      <c r="G23" s="4"/>
      <c r="H23" s="4"/>
      <c r="I23" s="4"/>
      <c r="J23" s="104"/>
      <c r="K23" s="123" t="s">
        <v>232</v>
      </c>
      <c r="L23" s="124" t="s">
        <v>233</v>
      </c>
      <c r="M23" s="125" t="s">
        <v>234</v>
      </c>
    </row>
    <row r="24">
      <c r="A24" s="106" t="s">
        <v>235</v>
      </c>
      <c r="B24" s="103" t="s">
        <v>236</v>
      </c>
      <c r="C24" s="4"/>
      <c r="D24" s="4"/>
      <c r="E24" s="4"/>
      <c r="F24" s="4"/>
      <c r="G24" s="4"/>
      <c r="H24" s="4"/>
      <c r="I24" s="4"/>
      <c r="J24" s="104"/>
      <c r="K24" s="123" t="s">
        <v>237</v>
      </c>
      <c r="L24" s="124" t="s">
        <v>238</v>
      </c>
      <c r="M24" s="125" t="s">
        <v>239</v>
      </c>
    </row>
    <row r="25">
      <c r="A25" s="106" t="s">
        <v>240</v>
      </c>
      <c r="B25" s="103" t="s">
        <v>241</v>
      </c>
      <c r="C25" s="4"/>
      <c r="D25" s="4"/>
      <c r="E25" s="4"/>
      <c r="F25" s="4"/>
      <c r="G25" s="4"/>
      <c r="H25" s="4"/>
      <c r="I25" s="4"/>
      <c r="J25" s="104"/>
      <c r="K25" s="126" t="s">
        <v>242</v>
      </c>
      <c r="L25" s="127" t="s">
        <v>243</v>
      </c>
      <c r="M25" s="128" t="s">
        <v>244</v>
      </c>
    </row>
    <row r="26">
      <c r="A26" s="106" t="s">
        <v>245</v>
      </c>
      <c r="B26" s="230" t="s">
        <v>426</v>
      </c>
      <c r="C26" s="4"/>
      <c r="D26" s="4"/>
      <c r="E26" s="4"/>
      <c r="F26" s="4"/>
      <c r="G26" s="4"/>
      <c r="H26" s="4"/>
      <c r="I26" s="4"/>
      <c r="J26" s="104"/>
      <c r="K26" s="126" t="s">
        <v>247</v>
      </c>
      <c r="L26" s="127" t="s">
        <v>248</v>
      </c>
      <c r="M26" s="128" t="s">
        <v>249</v>
      </c>
    </row>
    <row r="27">
      <c r="A27" s="106" t="s">
        <v>250</v>
      </c>
      <c r="B27" s="103" t="s">
        <v>251</v>
      </c>
      <c r="C27" s="4"/>
      <c r="D27" s="4"/>
      <c r="E27" s="4"/>
      <c r="F27" s="4"/>
      <c r="G27" s="4"/>
      <c r="H27" s="4"/>
      <c r="I27" s="4"/>
      <c r="J27" s="104"/>
      <c r="K27" s="126" t="s">
        <v>252</v>
      </c>
      <c r="L27" s="127" t="s">
        <v>253</v>
      </c>
      <c r="M27" s="128" t="s">
        <v>254</v>
      </c>
    </row>
    <row r="28">
      <c r="A28" s="106" t="s">
        <v>255</v>
      </c>
      <c r="B28" s="4" t="s">
        <v>256</v>
      </c>
      <c r="C28" s="4"/>
      <c r="D28" s="4"/>
      <c r="E28" s="4"/>
      <c r="F28" s="4"/>
      <c r="G28" s="4"/>
      <c r="H28" s="4"/>
      <c r="I28" s="4"/>
      <c r="J28" s="104"/>
      <c r="K28" s="123" t="s">
        <v>257</v>
      </c>
      <c r="L28" s="124" t="s">
        <v>258</v>
      </c>
      <c r="M28" s="128" t="s">
        <v>259</v>
      </c>
    </row>
    <row r="29">
      <c r="A29" s="106" t="s">
        <v>260</v>
      </c>
      <c r="B29" s="103" t="s">
        <v>261</v>
      </c>
      <c r="C29" s="4"/>
      <c r="D29" s="4"/>
      <c r="E29" s="4"/>
      <c r="F29" s="4"/>
      <c r="G29" s="4"/>
      <c r="H29" s="4"/>
      <c r="I29" s="4"/>
      <c r="J29" s="104"/>
      <c r="K29" s="126" t="s">
        <v>262</v>
      </c>
      <c r="L29" s="127" t="s">
        <v>263</v>
      </c>
      <c r="M29" s="128" t="s">
        <v>264</v>
      </c>
    </row>
    <row r="30">
      <c r="A30" s="130"/>
      <c r="B30" s="231" t="s">
        <v>427</v>
      </c>
      <c r="C30" s="4"/>
      <c r="D30" s="4"/>
      <c r="E30" s="4"/>
      <c r="F30" s="4"/>
      <c r="G30" s="4"/>
      <c r="H30" s="4"/>
      <c r="I30" s="4"/>
      <c r="J30" s="4"/>
      <c r="K30" s="4"/>
      <c r="L30" s="104"/>
      <c r="M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hyperlinks>
    <hyperlink r:id="rId1" ref="B26"/>
    <hyperlink r:id="rId2" ref="B30"/>
  </hyperlin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3" max="3" width="19.0"/>
    <col customWidth="1" min="4" max="4" width="19.38"/>
    <col customWidth="1" min="5" max="5" width="14.75"/>
    <col customWidth="1" min="15" max="15" width="14.25"/>
    <col customWidth="1" min="16" max="16" width="13.75"/>
  </cols>
  <sheetData>
    <row r="1">
      <c r="A1" s="116" t="s">
        <v>17</v>
      </c>
      <c r="B1" s="117"/>
      <c r="C1" s="117"/>
      <c r="D1" s="117"/>
      <c r="E1" s="118"/>
      <c r="F1" s="118"/>
      <c r="G1" s="119"/>
      <c r="H1" s="119"/>
      <c r="I1" s="121"/>
      <c r="J1" s="1"/>
      <c r="K1" s="1"/>
      <c r="L1" s="1"/>
      <c r="M1" s="1"/>
      <c r="N1" s="1"/>
      <c r="O1" s="1"/>
      <c r="P1" s="232"/>
    </row>
    <row r="2">
      <c r="A2" s="233" t="s">
        <v>428</v>
      </c>
      <c r="B2" s="117"/>
      <c r="C2" s="117"/>
      <c r="D2" s="117"/>
      <c r="E2" s="118"/>
      <c r="F2" s="118"/>
      <c r="G2" s="119"/>
      <c r="H2" s="119"/>
      <c r="I2" s="121"/>
      <c r="J2" s="1"/>
      <c r="K2" s="1"/>
      <c r="L2" s="1"/>
      <c r="M2" s="1"/>
      <c r="N2" s="1"/>
      <c r="O2" s="1"/>
      <c r="P2" s="232"/>
    </row>
    <row r="3">
      <c r="A3" s="233" t="s">
        <v>429</v>
      </c>
      <c r="B3" s="117"/>
      <c r="C3" s="117"/>
      <c r="D3" s="117"/>
      <c r="E3" s="118"/>
      <c r="F3" s="118"/>
      <c r="G3" s="119"/>
      <c r="H3" s="119"/>
      <c r="I3" s="121"/>
      <c r="J3" s="1"/>
      <c r="K3" s="1"/>
      <c r="L3" s="1"/>
      <c r="M3" s="1"/>
      <c r="N3" s="1"/>
      <c r="O3" s="1"/>
      <c r="P3" s="232"/>
    </row>
    <row r="4">
      <c r="A4" s="234"/>
      <c r="B4" s="235"/>
      <c r="C4" s="235"/>
      <c r="D4" s="235"/>
      <c r="E4" s="236"/>
      <c r="F4" s="236"/>
      <c r="G4" s="1"/>
      <c r="H4" s="1"/>
      <c r="I4" s="121"/>
      <c r="J4" s="1"/>
      <c r="K4" s="1"/>
      <c r="L4" s="1"/>
      <c r="M4" s="1"/>
      <c r="N4" s="1"/>
      <c r="O4" s="1"/>
      <c r="P4" s="232"/>
    </row>
    <row r="5">
      <c r="A5" s="237"/>
      <c r="B5" s="238" t="s">
        <v>430</v>
      </c>
      <c r="C5" s="239" t="s">
        <v>424</v>
      </c>
      <c r="D5" s="240" t="s">
        <v>425</v>
      </c>
      <c r="G5" s="1"/>
      <c r="H5" s="1"/>
      <c r="I5" s="121"/>
      <c r="J5" s="1"/>
      <c r="K5" s="1"/>
      <c r="L5" s="1"/>
      <c r="M5" s="1"/>
      <c r="N5" s="1"/>
      <c r="O5" s="1"/>
      <c r="P5" s="232"/>
    </row>
    <row r="6">
      <c r="A6" s="241" t="s">
        <v>431</v>
      </c>
      <c r="B6" s="242" t="s">
        <v>247</v>
      </c>
      <c r="C6" s="243" t="s">
        <v>432</v>
      </c>
      <c r="D6" s="244" t="s">
        <v>239</v>
      </c>
      <c r="G6" s="1"/>
      <c r="H6" s="1"/>
      <c r="I6" s="121"/>
      <c r="J6" s="1"/>
      <c r="K6" s="1"/>
      <c r="L6" s="1"/>
      <c r="M6" s="1"/>
      <c r="N6" s="1"/>
      <c r="O6" s="1"/>
      <c r="P6" s="232"/>
    </row>
    <row r="7">
      <c r="A7" s="241" t="s">
        <v>433</v>
      </c>
      <c r="B7" s="242" t="s">
        <v>434</v>
      </c>
      <c r="C7" s="243" t="s">
        <v>435</v>
      </c>
      <c r="D7" s="244" t="s">
        <v>436</v>
      </c>
      <c r="G7" s="1"/>
      <c r="H7" s="1"/>
      <c r="I7" s="121"/>
      <c r="J7" s="1"/>
      <c r="K7" s="1"/>
      <c r="L7" s="1"/>
      <c r="M7" s="1"/>
      <c r="N7" s="1"/>
      <c r="O7" s="1"/>
      <c r="P7" s="232"/>
    </row>
    <row r="8">
      <c r="A8" s="241" t="s">
        <v>437</v>
      </c>
      <c r="B8" s="242" t="s">
        <v>438</v>
      </c>
      <c r="C8" s="243" t="s">
        <v>257</v>
      </c>
      <c r="D8" s="244" t="s">
        <v>439</v>
      </c>
      <c r="G8" s="1"/>
      <c r="H8" s="1"/>
      <c r="I8" s="121"/>
      <c r="J8" s="1"/>
      <c r="K8" s="1"/>
      <c r="L8" s="1"/>
      <c r="M8" s="1"/>
      <c r="N8" s="1"/>
      <c r="O8" s="1"/>
      <c r="P8" s="232"/>
    </row>
    <row r="9">
      <c r="A9" s="241" t="s">
        <v>440</v>
      </c>
      <c r="B9" s="242" t="s">
        <v>441</v>
      </c>
      <c r="C9" s="243" t="s">
        <v>442</v>
      </c>
      <c r="D9" s="244" t="s">
        <v>443</v>
      </c>
      <c r="G9" s="1"/>
      <c r="H9" s="1"/>
      <c r="I9" s="121"/>
      <c r="J9" s="1"/>
      <c r="K9" s="1"/>
      <c r="L9" s="1"/>
      <c r="M9" s="1"/>
      <c r="N9" s="1"/>
      <c r="O9" s="1"/>
      <c r="P9" s="232"/>
    </row>
    <row r="10">
      <c r="A10" s="241" t="s">
        <v>444</v>
      </c>
      <c r="B10" s="242" t="s">
        <v>445</v>
      </c>
      <c r="C10" s="243" t="s">
        <v>442</v>
      </c>
      <c r="D10" s="244" t="s">
        <v>443</v>
      </c>
      <c r="G10" s="1"/>
      <c r="H10" s="1"/>
      <c r="I10" s="121"/>
      <c r="J10" s="1"/>
      <c r="K10" s="1"/>
      <c r="L10" s="1"/>
      <c r="M10" s="1"/>
      <c r="N10" s="1"/>
      <c r="O10" s="1"/>
      <c r="P10" s="232"/>
    </row>
    <row r="11">
      <c r="A11" s="241" t="s">
        <v>72</v>
      </c>
      <c r="B11" s="242" t="s">
        <v>441</v>
      </c>
      <c r="C11" s="243" t="s">
        <v>442</v>
      </c>
      <c r="D11" s="244" t="s">
        <v>443</v>
      </c>
      <c r="G11" s="1"/>
      <c r="H11" s="1"/>
      <c r="I11" s="121"/>
      <c r="J11" s="1"/>
      <c r="K11" s="1"/>
      <c r="L11" s="1"/>
      <c r="M11" s="1"/>
      <c r="N11" s="1"/>
      <c r="O11" s="1"/>
      <c r="P11" s="232"/>
    </row>
    <row r="12">
      <c r="A12" s="241" t="s">
        <v>446</v>
      </c>
      <c r="B12" s="242" t="s">
        <v>443</v>
      </c>
      <c r="C12" s="243" t="s">
        <v>447</v>
      </c>
      <c r="D12" s="244" t="s">
        <v>448</v>
      </c>
      <c r="G12" s="1"/>
      <c r="H12" s="1"/>
      <c r="I12" s="121"/>
      <c r="J12" s="1"/>
      <c r="K12" s="1"/>
      <c r="L12" s="1"/>
      <c r="M12" s="1"/>
      <c r="N12" s="1"/>
      <c r="O12" s="1"/>
      <c r="P12" s="232"/>
    </row>
    <row r="13">
      <c r="A13" s="241" t="s">
        <v>449</v>
      </c>
      <c r="B13" s="242" t="s">
        <v>450</v>
      </c>
      <c r="C13" s="243" t="s">
        <v>451</v>
      </c>
      <c r="D13" s="244" t="s">
        <v>452</v>
      </c>
      <c r="G13" s="1"/>
      <c r="H13" s="1"/>
      <c r="I13" s="121"/>
      <c r="J13" s="1"/>
      <c r="K13" s="1"/>
      <c r="L13" s="1"/>
      <c r="M13" s="1"/>
      <c r="N13" s="1"/>
      <c r="O13" s="1"/>
      <c r="P13" s="232"/>
    </row>
    <row r="14">
      <c r="A14" s="241" t="s">
        <v>453</v>
      </c>
      <c r="B14" s="242" t="s">
        <v>454</v>
      </c>
      <c r="C14" s="243" t="s">
        <v>455</v>
      </c>
      <c r="D14" s="244" t="s">
        <v>456</v>
      </c>
      <c r="G14" s="1"/>
      <c r="H14" s="1"/>
      <c r="I14" s="121"/>
      <c r="J14" s="1"/>
      <c r="K14" s="1"/>
      <c r="L14" s="1"/>
      <c r="M14" s="1"/>
      <c r="N14" s="1"/>
      <c r="O14" s="1"/>
      <c r="P14" s="232"/>
    </row>
    <row r="15">
      <c r="A15" s="135"/>
      <c r="B15" s="136"/>
      <c r="C15" s="136"/>
      <c r="D15" s="136"/>
      <c r="F15" s="1"/>
      <c r="G15" s="1"/>
      <c r="H15" s="1"/>
      <c r="I15" s="121"/>
      <c r="J15" s="1"/>
      <c r="K15" s="1"/>
      <c r="L15" s="1"/>
      <c r="M15" s="1"/>
      <c r="N15" s="1"/>
      <c r="O15" s="1"/>
      <c r="P15" s="232"/>
    </row>
    <row r="16">
      <c r="A16" s="137"/>
      <c r="B16" s="137"/>
      <c r="C16" s="137"/>
      <c r="D16" s="138"/>
      <c r="E16" s="139"/>
      <c r="F16" s="140"/>
      <c r="G16" s="141"/>
      <c r="H16" s="245" t="s">
        <v>266</v>
      </c>
      <c r="I16" s="140"/>
      <c r="J16" s="140"/>
      <c r="K16" s="140"/>
      <c r="L16" s="140"/>
      <c r="M16" s="140"/>
      <c r="N16" s="140"/>
      <c r="O16" s="140"/>
      <c r="P16" s="105" t="s">
        <v>457</v>
      </c>
    </row>
    <row r="17">
      <c r="A17" s="78"/>
      <c r="B17" s="78"/>
      <c r="C17" s="78"/>
      <c r="D17" s="111"/>
      <c r="E17" s="115"/>
      <c r="F17" s="104"/>
      <c r="G17" s="104"/>
      <c r="H17" s="104"/>
      <c r="I17" s="104"/>
      <c r="J17" s="143"/>
      <c r="K17" s="104" t="s">
        <v>458</v>
      </c>
      <c r="L17" s="104"/>
      <c r="M17" s="108" t="s">
        <v>459</v>
      </c>
      <c r="N17" s="104"/>
      <c r="O17" s="104"/>
      <c r="P17" s="146" t="s">
        <v>460</v>
      </c>
    </row>
    <row r="18">
      <c r="A18" s="78" t="s">
        <v>59</v>
      </c>
      <c r="B18" s="78" t="s">
        <v>60</v>
      </c>
      <c r="C18" s="78"/>
      <c r="D18" s="246" t="s">
        <v>62</v>
      </c>
      <c r="E18" s="247" t="s">
        <v>63</v>
      </c>
      <c r="F18" s="146" t="s">
        <v>64</v>
      </c>
      <c r="G18" s="146" t="s">
        <v>71</v>
      </c>
      <c r="H18" s="248" t="s">
        <v>461</v>
      </c>
      <c r="I18" s="248" t="s">
        <v>462</v>
      </c>
      <c r="J18" s="248" t="s">
        <v>440</v>
      </c>
      <c r="K18" s="248" t="s">
        <v>458</v>
      </c>
      <c r="L18" s="248" t="s">
        <v>72</v>
      </c>
      <c r="M18" s="248" t="s">
        <v>463</v>
      </c>
      <c r="N18" s="248" t="s">
        <v>464</v>
      </c>
      <c r="O18" s="248" t="s">
        <v>465</v>
      </c>
      <c r="P18" s="146" t="s">
        <v>466</v>
      </c>
    </row>
    <row r="19">
      <c r="A19" s="83" t="s">
        <v>76</v>
      </c>
      <c r="B19" s="83" t="s">
        <v>467</v>
      </c>
      <c r="C19" s="83" t="s">
        <v>468</v>
      </c>
      <c r="D19" s="83" t="s">
        <v>178</v>
      </c>
      <c r="E19" s="84">
        <f>IFERROR(__xludf.DUMMYFUNCTION("googlefinance(B19,""price"")"),31.84)</f>
        <v>31.84</v>
      </c>
      <c r="F19" s="83">
        <v>46.83</v>
      </c>
      <c r="G19" s="83">
        <v>4.16</v>
      </c>
      <c r="H19" s="249">
        <v>4.46</v>
      </c>
      <c r="I19" s="249">
        <v>8.35</v>
      </c>
      <c r="J19" s="249">
        <v>0.25</v>
      </c>
      <c r="K19" s="113">
        <v>1.65</v>
      </c>
      <c r="L19" s="250">
        <v>0.5</v>
      </c>
      <c r="M19" s="162">
        <v>1.3</v>
      </c>
      <c r="N19" s="249">
        <v>40.05</v>
      </c>
      <c r="O19" s="249">
        <v>32.96</v>
      </c>
      <c r="P19" s="84" t="s">
        <v>469</v>
      </c>
    </row>
    <row r="20">
      <c r="A20" s="83" t="s">
        <v>84</v>
      </c>
      <c r="B20" s="83" t="s">
        <v>19</v>
      </c>
      <c r="C20" s="83" t="s">
        <v>470</v>
      </c>
      <c r="D20" s="83" t="s">
        <v>471</v>
      </c>
      <c r="E20" s="83">
        <v>39.87</v>
      </c>
      <c r="F20" s="251">
        <v>7.98</v>
      </c>
      <c r="G20" s="83">
        <v>13.88</v>
      </c>
      <c r="H20" s="252">
        <v>0.0669</v>
      </c>
      <c r="I20" s="250">
        <v>2.91</v>
      </c>
      <c r="J20" s="162">
        <v>2.91</v>
      </c>
      <c r="K20" s="249">
        <v>0.67</v>
      </c>
      <c r="L20" s="249">
        <v>0.11</v>
      </c>
      <c r="M20" s="249">
        <v>4.2</v>
      </c>
      <c r="N20" s="249">
        <v>45.64</v>
      </c>
      <c r="O20" s="162">
        <v>1.0</v>
      </c>
      <c r="P20" s="84" t="s">
        <v>472</v>
      </c>
    </row>
    <row r="21">
      <c r="A21" s="83" t="s">
        <v>176</v>
      </c>
      <c r="B21" s="83" t="s">
        <v>473</v>
      </c>
      <c r="C21" s="83" t="s">
        <v>474</v>
      </c>
      <c r="D21" s="83" t="s">
        <v>475</v>
      </c>
      <c r="E21" s="83">
        <v>14.2</v>
      </c>
      <c r="F21" s="83">
        <v>7.44</v>
      </c>
      <c r="G21" s="83">
        <v>2.44</v>
      </c>
      <c r="H21" s="249">
        <v>5.28</v>
      </c>
      <c r="I21" s="249">
        <v>5.86</v>
      </c>
      <c r="J21" s="113">
        <v>1.43</v>
      </c>
      <c r="K21" s="249">
        <v>0.53</v>
      </c>
      <c r="L21" s="249">
        <v>0.72</v>
      </c>
      <c r="M21" s="162">
        <v>1.2</v>
      </c>
      <c r="N21" s="162">
        <v>18.57</v>
      </c>
      <c r="O21" s="249">
        <v>12.0</v>
      </c>
      <c r="P21" s="84" t="s">
        <v>476</v>
      </c>
    </row>
    <row r="22">
      <c r="A22" s="83" t="s">
        <v>92</v>
      </c>
      <c r="B22" s="83" t="s">
        <v>477</v>
      </c>
      <c r="C22" s="83" t="s">
        <v>478</v>
      </c>
      <c r="D22" s="83" t="s">
        <v>479</v>
      </c>
      <c r="E22" s="83">
        <v>94.22</v>
      </c>
      <c r="F22" s="83">
        <v>5.59</v>
      </c>
      <c r="G22" s="83">
        <v>11.8</v>
      </c>
      <c r="H22" s="162" t="s">
        <v>96</v>
      </c>
      <c r="I22" s="249">
        <v>8.04</v>
      </c>
      <c r="J22" s="249">
        <v>0.25</v>
      </c>
      <c r="K22" s="113">
        <v>1.72</v>
      </c>
      <c r="L22" s="249">
        <v>0.0</v>
      </c>
      <c r="M22" s="249">
        <v>2.7</v>
      </c>
      <c r="N22" s="249">
        <v>99.75</v>
      </c>
      <c r="O22" s="249">
        <v>32.4</v>
      </c>
      <c r="P22" s="84" t="s">
        <v>480</v>
      </c>
    </row>
    <row r="23">
      <c r="A23" s="83" t="s">
        <v>97</v>
      </c>
      <c r="B23" s="83" t="s">
        <v>481</v>
      </c>
      <c r="C23" s="83" t="s">
        <v>482</v>
      </c>
      <c r="D23" s="83" t="s">
        <v>100</v>
      </c>
      <c r="E23" s="83">
        <v>12.15</v>
      </c>
      <c r="F23" s="83">
        <v>83.09</v>
      </c>
      <c r="G23" s="83">
        <v>2.8</v>
      </c>
      <c r="H23" s="162" t="s">
        <v>96</v>
      </c>
      <c r="I23" s="249">
        <v>4.17</v>
      </c>
      <c r="J23" s="249">
        <v>0.28</v>
      </c>
      <c r="K23" s="249">
        <v>0.44</v>
      </c>
      <c r="L23" s="249">
        <v>0.93</v>
      </c>
      <c r="M23" s="249">
        <v>2.3</v>
      </c>
      <c r="N23" s="249">
        <v>13.0</v>
      </c>
      <c r="O23" s="249">
        <v>15.0</v>
      </c>
      <c r="P23" s="84" t="s">
        <v>483</v>
      </c>
    </row>
    <row r="24">
      <c r="A24" s="83" t="s">
        <v>103</v>
      </c>
      <c r="B24" s="83" t="s">
        <v>484</v>
      </c>
      <c r="C24" s="83" t="s">
        <v>485</v>
      </c>
      <c r="D24" s="83" t="s">
        <v>486</v>
      </c>
      <c r="E24" s="253">
        <f>IFERROR(__xludf.DUMMYFUNCTION("googlefinance(B24,""price"")"),24.37)</f>
        <v>24.37</v>
      </c>
      <c r="F24" s="83">
        <v>1.7</v>
      </c>
      <c r="G24" s="83">
        <v>28.7</v>
      </c>
      <c r="H24" s="249">
        <v>11.27</v>
      </c>
      <c r="I24" s="249">
        <v>1.08</v>
      </c>
      <c r="J24" s="84" t="s">
        <v>96</v>
      </c>
      <c r="K24" s="249">
        <v>0.69</v>
      </c>
      <c r="L24" s="249">
        <v>0.47</v>
      </c>
      <c r="M24" s="249">
        <v>5.2</v>
      </c>
      <c r="N24" s="162">
        <v>29.85</v>
      </c>
      <c r="O24" s="249">
        <v>32.4</v>
      </c>
      <c r="P24" s="84" t="s">
        <v>355</v>
      </c>
    </row>
    <row r="25">
      <c r="A25" s="83" t="s">
        <v>108</v>
      </c>
      <c r="B25" s="83" t="s">
        <v>47</v>
      </c>
      <c r="C25" s="83" t="s">
        <v>487</v>
      </c>
      <c r="D25" s="83" t="s">
        <v>143</v>
      </c>
      <c r="E25" s="83">
        <v>3.33</v>
      </c>
      <c r="F25" s="83">
        <v>0.09876</v>
      </c>
      <c r="G25" s="83">
        <v>0.49</v>
      </c>
      <c r="H25" s="84" t="s">
        <v>82</v>
      </c>
      <c r="I25" s="249">
        <v>7.03</v>
      </c>
      <c r="J25" s="84" t="s">
        <v>82</v>
      </c>
      <c r="K25" s="249">
        <v>0.75</v>
      </c>
      <c r="L25" s="249">
        <v>0.0</v>
      </c>
      <c r="M25" s="249">
        <v>17.0</v>
      </c>
      <c r="N25" s="249">
        <v>11.67</v>
      </c>
      <c r="O25" s="249">
        <v>52.6</v>
      </c>
      <c r="P25" s="84" t="s">
        <v>488</v>
      </c>
    </row>
    <row r="26">
      <c r="A26" s="83" t="s">
        <v>112</v>
      </c>
      <c r="B26" s="83" t="s">
        <v>29</v>
      </c>
      <c r="C26" s="83" t="s">
        <v>489</v>
      </c>
      <c r="D26" s="83" t="s">
        <v>131</v>
      </c>
      <c r="E26" s="111">
        <f>IFERROR(__xludf.DUMMYFUNCTION("GOOGLEFINANCE(B26,""price"")"),47.5)</f>
        <v>47.5</v>
      </c>
      <c r="F26" s="83">
        <v>8.37</v>
      </c>
      <c r="G26" s="83">
        <v>5.9</v>
      </c>
      <c r="H26" s="252">
        <v>0.0314</v>
      </c>
      <c r="I26" s="249">
        <v>7.13</v>
      </c>
      <c r="J26" s="249">
        <v>0.48</v>
      </c>
      <c r="K26" s="249">
        <v>0.97</v>
      </c>
      <c r="L26" s="249">
        <v>0.4</v>
      </c>
      <c r="M26" s="84" t="s">
        <v>96</v>
      </c>
      <c r="N26" s="113">
        <v>45.69</v>
      </c>
      <c r="O26" s="252">
        <v>0.1484</v>
      </c>
      <c r="P26" s="84" t="s">
        <v>490</v>
      </c>
    </row>
    <row r="27">
      <c r="A27" s="83" t="s">
        <v>118</v>
      </c>
      <c r="B27" s="83" t="s">
        <v>23</v>
      </c>
      <c r="C27" s="83" t="s">
        <v>491</v>
      </c>
      <c r="D27" s="83" t="s">
        <v>178</v>
      </c>
      <c r="E27" s="93">
        <f>IFERROR(__xludf.DUMMYFUNCTION("GOOGLEFINANCE(B27,""price"")"),24.19)</f>
        <v>24.19</v>
      </c>
      <c r="F27" s="84">
        <v>19.132</v>
      </c>
      <c r="G27" s="84">
        <v>5.51</v>
      </c>
      <c r="H27" s="252">
        <v>0.101</v>
      </c>
      <c r="I27" s="249">
        <v>5.09</v>
      </c>
      <c r="J27" s="83"/>
      <c r="K27" s="113">
        <v>1.58</v>
      </c>
      <c r="L27" s="249">
        <v>0.17</v>
      </c>
      <c r="M27" s="249">
        <v>1.66</v>
      </c>
      <c r="N27" s="254">
        <v>32.91</v>
      </c>
      <c r="O27" s="255">
        <v>2.37</v>
      </c>
      <c r="P27" s="93"/>
    </row>
    <row r="28">
      <c r="A28" s="83" t="s">
        <v>124</v>
      </c>
      <c r="B28" s="83" t="s">
        <v>320</v>
      </c>
      <c r="C28" s="83" t="s">
        <v>321</v>
      </c>
      <c r="D28" s="83" t="s">
        <v>143</v>
      </c>
      <c r="E28" s="83">
        <v>163.8</v>
      </c>
      <c r="F28" s="83">
        <v>428.94</v>
      </c>
      <c r="G28" s="83">
        <v>44.7</v>
      </c>
      <c r="H28" s="249">
        <v>2.77</v>
      </c>
      <c r="I28" s="162">
        <v>24.25</v>
      </c>
      <c r="J28" s="162">
        <v>6.23</v>
      </c>
      <c r="K28" s="162">
        <v>5.76</v>
      </c>
      <c r="L28" s="249">
        <v>0.43</v>
      </c>
      <c r="M28" s="83">
        <v>1.4</v>
      </c>
      <c r="N28" s="111"/>
      <c r="O28" s="113">
        <v>3.89</v>
      </c>
      <c r="P28" s="93"/>
    </row>
    <row r="29">
      <c r="A29" s="83" t="s">
        <v>128</v>
      </c>
      <c r="B29" s="83" t="s">
        <v>492</v>
      </c>
      <c r="C29" s="83" t="s">
        <v>493</v>
      </c>
      <c r="D29" s="83" t="s">
        <v>494</v>
      </c>
      <c r="E29" s="83">
        <v>8.18</v>
      </c>
      <c r="F29" s="83">
        <v>0.864</v>
      </c>
      <c r="G29" s="83">
        <v>4.94</v>
      </c>
      <c r="H29" s="249">
        <v>2.38</v>
      </c>
      <c r="I29" s="249">
        <v>1.7</v>
      </c>
      <c r="J29" s="84" t="s">
        <v>96</v>
      </c>
      <c r="K29" s="249">
        <v>0.76</v>
      </c>
      <c r="L29" s="249">
        <v>0.07</v>
      </c>
      <c r="M29" s="249">
        <v>3.6</v>
      </c>
      <c r="N29" s="249">
        <v>11.67</v>
      </c>
      <c r="P29" s="84" t="s">
        <v>488</v>
      </c>
    </row>
    <row r="30">
      <c r="A30" s="83" t="s">
        <v>134</v>
      </c>
      <c r="B30" s="83" t="s">
        <v>49</v>
      </c>
      <c r="C30" s="83" t="s">
        <v>495</v>
      </c>
      <c r="D30" s="83" t="s">
        <v>100</v>
      </c>
      <c r="E30" s="111">
        <f>IFERROR(__xludf.DUMMYFUNCTION("GOOGLEFINANCE(B30,""price"")"),350.6)</f>
        <v>350.6</v>
      </c>
      <c r="F30" s="256">
        <f>IFERROR(__xludf.DUMMYFUNCTION("GOOGLEFINANCE(B30,""marketcap"")"),2.918872318E9)</f>
        <v>2918872318</v>
      </c>
      <c r="G30" s="83">
        <v>29.25</v>
      </c>
      <c r="H30" s="83" t="s">
        <v>82</v>
      </c>
      <c r="I30" s="249">
        <v>9.1</v>
      </c>
      <c r="J30" s="249">
        <v>0.3</v>
      </c>
      <c r="K30" s="162">
        <v>2.5</v>
      </c>
      <c r="L30" s="249">
        <v>0.01</v>
      </c>
      <c r="M30" s="249">
        <v>2.7</v>
      </c>
      <c r="N30" s="249">
        <v>341.67</v>
      </c>
      <c r="O30" s="252">
        <v>0.3</v>
      </c>
      <c r="P30" s="84" t="s">
        <v>355</v>
      </c>
    </row>
    <row r="31">
      <c r="A31" s="83" t="s">
        <v>137</v>
      </c>
      <c r="B31" s="83" t="s">
        <v>496</v>
      </c>
      <c r="C31" s="83" t="s">
        <v>497</v>
      </c>
      <c r="D31" s="83" t="s">
        <v>498</v>
      </c>
      <c r="E31" s="83">
        <v>8.96</v>
      </c>
      <c r="F31" s="83">
        <v>0.192</v>
      </c>
      <c r="G31" s="83">
        <v>2.04</v>
      </c>
      <c r="H31" s="252">
        <v>0.0375</v>
      </c>
      <c r="I31" s="249">
        <v>4.18</v>
      </c>
      <c r="J31" s="249">
        <v>0.28</v>
      </c>
      <c r="K31" s="249">
        <v>0.68</v>
      </c>
      <c r="L31" s="249">
        <v>0.0</v>
      </c>
      <c r="M31" s="83" t="s">
        <v>96</v>
      </c>
      <c r="N31" s="158">
        <v>0.056</v>
      </c>
      <c r="O31" s="257">
        <v>0.15</v>
      </c>
      <c r="P31" s="84" t="s">
        <v>499</v>
      </c>
    </row>
    <row r="32">
      <c r="A32" s="83" t="s">
        <v>141</v>
      </c>
      <c r="B32" s="83" t="s">
        <v>500</v>
      </c>
      <c r="C32" s="83" t="s">
        <v>501</v>
      </c>
      <c r="D32" s="83" t="s">
        <v>502</v>
      </c>
      <c r="E32" s="111">
        <f>3.78</f>
        <v>3.78</v>
      </c>
      <c r="F32" s="111">
        <f>0.15341</f>
        <v>0.15341</v>
      </c>
      <c r="G32" s="83">
        <v>0.43</v>
      </c>
      <c r="H32" s="252">
        <v>0.1368</v>
      </c>
      <c r="I32" s="249">
        <v>8.76</v>
      </c>
      <c r="J32" s="249">
        <v>0.19</v>
      </c>
      <c r="K32" s="249">
        <v>0.67</v>
      </c>
      <c r="L32" s="113">
        <v>1.49</v>
      </c>
      <c r="M32" s="83" t="s">
        <v>503</v>
      </c>
      <c r="N32" s="252">
        <f>(5.67-3.78)/3.78</f>
        <v>0.5</v>
      </c>
      <c r="O32" s="257">
        <v>0.45</v>
      </c>
      <c r="P32" s="84" t="s">
        <v>490</v>
      </c>
    </row>
    <row r="33">
      <c r="A33" s="83" t="s">
        <v>145</v>
      </c>
      <c r="B33" s="83" t="s">
        <v>504</v>
      </c>
      <c r="C33" s="83" t="s">
        <v>505</v>
      </c>
      <c r="D33" s="83" t="s">
        <v>502</v>
      </c>
      <c r="E33" s="83">
        <v>6.7</v>
      </c>
      <c r="F33" s="83">
        <v>0.274</v>
      </c>
      <c r="G33" s="83">
        <v>1.92</v>
      </c>
      <c r="H33" s="199" t="s">
        <v>82</v>
      </c>
      <c r="I33" s="249">
        <v>3.49</v>
      </c>
      <c r="J33" s="249">
        <v>0.07</v>
      </c>
      <c r="K33" s="249">
        <v>0.42</v>
      </c>
      <c r="L33" s="249">
        <v>0.0</v>
      </c>
      <c r="M33" s="199" t="s">
        <v>82</v>
      </c>
      <c r="N33" s="249">
        <v>7.5</v>
      </c>
      <c r="O33" s="252">
        <v>0.486</v>
      </c>
      <c r="P33" s="84" t="s">
        <v>506</v>
      </c>
    </row>
    <row r="34">
      <c r="A34" s="83" t="s">
        <v>149</v>
      </c>
      <c r="B34" s="83" t="s">
        <v>507</v>
      </c>
      <c r="C34" s="83" t="s">
        <v>508</v>
      </c>
      <c r="D34" s="83" t="s">
        <v>479</v>
      </c>
      <c r="E34" s="83">
        <v>20.41</v>
      </c>
      <c r="F34" s="83">
        <v>2.57</v>
      </c>
      <c r="G34" s="83">
        <v>1.97</v>
      </c>
      <c r="H34" s="83" t="s">
        <v>82</v>
      </c>
      <c r="I34" s="113">
        <v>10.53</v>
      </c>
      <c r="J34" s="249">
        <v>0.53</v>
      </c>
      <c r="K34" s="162">
        <v>2.5</v>
      </c>
      <c r="L34" s="249">
        <v>0.0</v>
      </c>
      <c r="M34" s="249">
        <v>7.19</v>
      </c>
      <c r="N34" s="249">
        <v>27.51</v>
      </c>
      <c r="O34" s="257">
        <v>0.2</v>
      </c>
      <c r="P34" s="84" t="s">
        <v>415</v>
      </c>
    </row>
    <row r="35">
      <c r="A35" s="83" t="s">
        <v>156</v>
      </c>
      <c r="B35" s="83" t="s">
        <v>27</v>
      </c>
      <c r="C35" s="83" t="s">
        <v>509</v>
      </c>
      <c r="D35" s="83" t="s">
        <v>510</v>
      </c>
      <c r="E35" s="111">
        <f>IFERROR(__xludf.DUMMYFUNCTION("GOOGLEFINANCE(B35,""Price"")"),74.37)</f>
        <v>74.37</v>
      </c>
      <c r="F35" s="258">
        <v>1.228</v>
      </c>
      <c r="G35" s="83">
        <v>27.79</v>
      </c>
      <c r="H35" s="252">
        <v>0.0507</v>
      </c>
      <c r="I35" s="249">
        <v>2.13</v>
      </c>
      <c r="J35" s="249">
        <v>0.71</v>
      </c>
      <c r="K35" s="249">
        <v>0.5</v>
      </c>
      <c r="L35" s="249">
        <v>0.38</v>
      </c>
      <c r="M35" s="249">
        <v>2.3</v>
      </c>
      <c r="N35" s="249">
        <v>90.0</v>
      </c>
      <c r="O35" s="158">
        <v>0.03</v>
      </c>
      <c r="P35" s="84" t="s">
        <v>511</v>
      </c>
    </row>
    <row r="36">
      <c r="A36" s="83" t="s">
        <v>162</v>
      </c>
      <c r="B36" s="83" t="s">
        <v>157</v>
      </c>
      <c r="C36" s="83" t="s">
        <v>512</v>
      </c>
      <c r="D36" s="83" t="s">
        <v>106</v>
      </c>
      <c r="E36" s="111">
        <f>IFERROR(__xludf.DUMMYFUNCTION("GOOGLEFINANCE(B36,""Price"")"),45.11)</f>
        <v>45.11</v>
      </c>
      <c r="F36" s="83">
        <v>4.2</v>
      </c>
      <c r="G36" s="83">
        <v>7.78</v>
      </c>
      <c r="H36" s="252">
        <v>0.0253</v>
      </c>
      <c r="I36" s="252">
        <v>0.0589</v>
      </c>
      <c r="J36" s="249">
        <v>0.57</v>
      </c>
      <c r="K36" s="113">
        <v>1.07</v>
      </c>
      <c r="L36" s="249">
        <v>0.58</v>
      </c>
      <c r="M36" s="249">
        <v>2.0</v>
      </c>
      <c r="N36" s="162">
        <v>43.71</v>
      </c>
      <c r="O36" s="252">
        <v>0.276</v>
      </c>
      <c r="P36" s="84" t="s">
        <v>480</v>
      </c>
    </row>
    <row r="37">
      <c r="A37" s="83" t="s">
        <v>167</v>
      </c>
      <c r="B37" s="83" t="s">
        <v>513</v>
      </c>
      <c r="C37" s="83" t="s">
        <v>514</v>
      </c>
      <c r="D37" s="83" t="s">
        <v>475</v>
      </c>
      <c r="E37" s="83">
        <f>IFERROR(__xludf.DUMMYFUNCTION("GOOGLEFINANCE($B$37,""price"")"),4.31)</f>
        <v>4.31</v>
      </c>
      <c r="F37" s="83">
        <f>IFERROR(__xludf.DUMMYFUNCTION("GOOGLEFINANCE($B$37,""marketcap"")"),7.1150168E7)</f>
        <v>71150168</v>
      </c>
      <c r="G37" s="83">
        <f>IFERROR(__xludf.DUMMYFUNCTION("GOOGLEFINANCE($B$37,""eps"")"),-1.07)</f>
        <v>-1.07</v>
      </c>
      <c r="H37" s="259" t="s">
        <v>82</v>
      </c>
      <c r="I37" s="260" t="str">
        <f>IFERROR(__xludf.DUMMYFUNCTION("GOOGLEFINANCE($B$37,""pe"")"),"#N/A")</f>
        <v>#N/A</v>
      </c>
      <c r="J37" s="249">
        <v>0.41</v>
      </c>
      <c r="K37" s="249">
        <v>0.31</v>
      </c>
      <c r="L37" s="249">
        <v>0.0</v>
      </c>
      <c r="M37" s="249">
        <v>2.5</v>
      </c>
      <c r="N37" s="249">
        <v>17.0</v>
      </c>
      <c r="O37" s="252">
        <v>0.154</v>
      </c>
      <c r="P37" s="84" t="s">
        <v>515</v>
      </c>
    </row>
    <row r="38">
      <c r="A38" s="83" t="s">
        <v>171</v>
      </c>
      <c r="B38" s="83" t="s">
        <v>37</v>
      </c>
      <c r="C38" s="83" t="s">
        <v>516</v>
      </c>
      <c r="D38" s="83" t="s">
        <v>106</v>
      </c>
      <c r="E38" s="83">
        <v>10.94</v>
      </c>
      <c r="F38" s="83">
        <v>0.153347</v>
      </c>
      <c r="G38" s="83">
        <v>1.2</v>
      </c>
      <c r="H38" s="162" t="s">
        <v>82</v>
      </c>
      <c r="I38" s="252">
        <v>0.0884</v>
      </c>
      <c r="J38" s="249">
        <v>0.44</v>
      </c>
      <c r="K38" s="113">
        <v>1.55</v>
      </c>
      <c r="L38" s="249">
        <v>0.0</v>
      </c>
      <c r="M38" s="249">
        <v>4.5</v>
      </c>
      <c r="N38" s="249">
        <v>14.61</v>
      </c>
      <c r="O38" s="257">
        <v>0.2</v>
      </c>
      <c r="P38" s="84" t="s">
        <v>469</v>
      </c>
    </row>
    <row r="39">
      <c r="P39" s="77"/>
    </row>
    <row r="40">
      <c r="P40" s="77"/>
    </row>
    <row r="41">
      <c r="P41" s="77"/>
    </row>
    <row r="42">
      <c r="P42" s="77"/>
    </row>
    <row r="43">
      <c r="P43" s="77"/>
    </row>
    <row r="44">
      <c r="P44" s="77"/>
    </row>
    <row r="45">
      <c r="P45" s="77"/>
    </row>
    <row r="46">
      <c r="P46" s="77"/>
    </row>
    <row r="47">
      <c r="P47" s="77"/>
    </row>
    <row r="48">
      <c r="P48" s="77"/>
    </row>
    <row r="49">
      <c r="P49" s="77"/>
    </row>
    <row r="50">
      <c r="P50" s="77"/>
    </row>
    <row r="51">
      <c r="P51" s="77"/>
    </row>
    <row r="52">
      <c r="P52" s="77"/>
    </row>
    <row r="53">
      <c r="P53" s="77"/>
    </row>
    <row r="54">
      <c r="P54" s="77"/>
    </row>
    <row r="55">
      <c r="P55" s="77"/>
    </row>
    <row r="56">
      <c r="P56" s="77"/>
    </row>
    <row r="57">
      <c r="P57" s="77"/>
    </row>
    <row r="58">
      <c r="P58" s="77"/>
    </row>
    <row r="59">
      <c r="P59" s="77"/>
    </row>
    <row r="60">
      <c r="P60" s="77"/>
    </row>
    <row r="61">
      <c r="P61" s="77"/>
    </row>
    <row r="62">
      <c r="P62" s="77"/>
    </row>
    <row r="63">
      <c r="P63" s="77"/>
    </row>
    <row r="64">
      <c r="P64" s="77"/>
    </row>
    <row r="65">
      <c r="P65" s="77"/>
    </row>
    <row r="66">
      <c r="P66" s="77"/>
    </row>
    <row r="67">
      <c r="P67" s="77"/>
    </row>
    <row r="68">
      <c r="P68" s="77"/>
    </row>
    <row r="69">
      <c r="P69" s="77"/>
    </row>
    <row r="70">
      <c r="P70" s="77"/>
    </row>
    <row r="71">
      <c r="P71" s="77"/>
    </row>
    <row r="72">
      <c r="P72" s="77"/>
    </row>
    <row r="73">
      <c r="P73" s="77"/>
    </row>
    <row r="74">
      <c r="P74" s="77"/>
    </row>
    <row r="75">
      <c r="P75" s="77"/>
    </row>
    <row r="76">
      <c r="P76" s="77"/>
    </row>
    <row r="77">
      <c r="P77" s="77"/>
    </row>
    <row r="78">
      <c r="P78" s="77"/>
    </row>
    <row r="79">
      <c r="P79" s="77"/>
    </row>
    <row r="80">
      <c r="P80" s="77"/>
    </row>
    <row r="81">
      <c r="P81" s="77"/>
    </row>
    <row r="82">
      <c r="P82" s="77"/>
    </row>
    <row r="83">
      <c r="P83" s="77"/>
    </row>
    <row r="84">
      <c r="P84" s="77"/>
    </row>
    <row r="85">
      <c r="P85" s="77"/>
    </row>
    <row r="86">
      <c r="P86" s="77"/>
    </row>
    <row r="87">
      <c r="P87" s="77"/>
    </row>
    <row r="88">
      <c r="P88" s="77"/>
    </row>
    <row r="89">
      <c r="P89" s="77"/>
    </row>
    <row r="90">
      <c r="P90" s="77"/>
    </row>
    <row r="91">
      <c r="P91" s="77"/>
    </row>
    <row r="92">
      <c r="P92" s="77"/>
    </row>
    <row r="93">
      <c r="P93" s="77"/>
    </row>
    <row r="94">
      <c r="P94" s="77"/>
    </row>
    <row r="95">
      <c r="P95" s="77"/>
    </row>
    <row r="96">
      <c r="P96" s="77"/>
    </row>
    <row r="97">
      <c r="P97" s="77"/>
    </row>
    <row r="98">
      <c r="P98" s="77"/>
    </row>
    <row r="99">
      <c r="P99" s="77"/>
    </row>
    <row r="100">
      <c r="P100" s="77"/>
    </row>
    <row r="101">
      <c r="P101" s="77"/>
    </row>
    <row r="102">
      <c r="P102" s="77"/>
    </row>
    <row r="103">
      <c r="P103" s="77"/>
    </row>
    <row r="104">
      <c r="P104" s="77"/>
    </row>
    <row r="105">
      <c r="P105" s="77"/>
    </row>
    <row r="106">
      <c r="P106" s="77"/>
    </row>
    <row r="107">
      <c r="P107" s="77"/>
    </row>
    <row r="108">
      <c r="P108" s="77"/>
    </row>
    <row r="109">
      <c r="P109" s="77"/>
    </row>
    <row r="110">
      <c r="P110" s="77"/>
    </row>
    <row r="111">
      <c r="P111" s="77"/>
    </row>
    <row r="112">
      <c r="P112" s="77"/>
    </row>
    <row r="113">
      <c r="P113" s="77"/>
    </row>
    <row r="114">
      <c r="P114" s="77"/>
    </row>
    <row r="115">
      <c r="P115" s="77"/>
    </row>
    <row r="116">
      <c r="P116" s="77"/>
    </row>
    <row r="117">
      <c r="P117" s="77"/>
    </row>
    <row r="118">
      <c r="P118" s="77"/>
    </row>
    <row r="119">
      <c r="P119" s="77"/>
    </row>
    <row r="120">
      <c r="P120" s="77"/>
    </row>
    <row r="121">
      <c r="P121" s="77"/>
    </row>
    <row r="122">
      <c r="P122" s="77"/>
    </row>
    <row r="123">
      <c r="P123" s="77"/>
    </row>
    <row r="124">
      <c r="P124" s="77"/>
    </row>
    <row r="125">
      <c r="P125" s="77"/>
    </row>
    <row r="126">
      <c r="P126" s="77"/>
    </row>
    <row r="127">
      <c r="P127" s="77"/>
    </row>
    <row r="128">
      <c r="P128" s="77"/>
    </row>
    <row r="129">
      <c r="P129" s="77"/>
    </row>
    <row r="130">
      <c r="P130" s="77"/>
    </row>
    <row r="131">
      <c r="P131" s="77"/>
    </row>
    <row r="132">
      <c r="P132" s="77"/>
    </row>
    <row r="133">
      <c r="P133" s="77"/>
    </row>
    <row r="134">
      <c r="P134" s="77"/>
    </row>
    <row r="135">
      <c r="P135" s="77"/>
    </row>
    <row r="136">
      <c r="P136" s="77"/>
    </row>
    <row r="137">
      <c r="P137" s="77"/>
    </row>
    <row r="138">
      <c r="P138" s="77"/>
    </row>
    <row r="139">
      <c r="P139" s="77"/>
    </row>
    <row r="140">
      <c r="P140" s="77"/>
    </row>
    <row r="141">
      <c r="P141" s="77"/>
    </row>
    <row r="142">
      <c r="P142" s="77"/>
    </row>
    <row r="143">
      <c r="P143" s="77"/>
    </row>
    <row r="144">
      <c r="P144" s="77"/>
    </row>
    <row r="145">
      <c r="P145" s="77"/>
    </row>
    <row r="146">
      <c r="P146" s="77"/>
    </row>
    <row r="147">
      <c r="P147" s="77"/>
    </row>
    <row r="148">
      <c r="P148" s="77"/>
    </row>
    <row r="149">
      <c r="P149" s="77"/>
    </row>
    <row r="150">
      <c r="P150" s="77"/>
    </row>
    <row r="151">
      <c r="P151" s="77"/>
    </row>
    <row r="152">
      <c r="P152" s="77"/>
    </row>
    <row r="153">
      <c r="P153" s="77"/>
    </row>
    <row r="154">
      <c r="P154" s="77"/>
    </row>
    <row r="155">
      <c r="P155" s="77"/>
    </row>
    <row r="156">
      <c r="P156" s="77"/>
    </row>
    <row r="157">
      <c r="P157" s="77"/>
    </row>
    <row r="158">
      <c r="P158" s="77"/>
    </row>
    <row r="159">
      <c r="P159" s="77"/>
    </row>
    <row r="160">
      <c r="P160" s="77"/>
    </row>
    <row r="161">
      <c r="P161" s="77"/>
    </row>
    <row r="162">
      <c r="P162" s="77"/>
    </row>
    <row r="163">
      <c r="P163" s="77"/>
    </row>
    <row r="164">
      <c r="P164" s="77"/>
    </row>
    <row r="165">
      <c r="P165" s="77"/>
    </row>
    <row r="166">
      <c r="P166" s="77"/>
    </row>
    <row r="167">
      <c r="P167" s="77"/>
    </row>
    <row r="168">
      <c r="P168" s="77"/>
    </row>
    <row r="169">
      <c r="P169" s="77"/>
    </row>
    <row r="170">
      <c r="P170" s="77"/>
    </row>
    <row r="171">
      <c r="P171" s="77"/>
    </row>
    <row r="172">
      <c r="P172" s="77"/>
    </row>
    <row r="173">
      <c r="P173" s="77"/>
    </row>
    <row r="174">
      <c r="P174" s="77"/>
    </row>
    <row r="175">
      <c r="P175" s="77"/>
    </row>
    <row r="176">
      <c r="P176" s="77"/>
    </row>
    <row r="177">
      <c r="P177" s="77"/>
    </row>
    <row r="178">
      <c r="P178" s="77"/>
    </row>
    <row r="179">
      <c r="P179" s="77"/>
    </row>
    <row r="180">
      <c r="P180" s="77"/>
    </row>
    <row r="181">
      <c r="P181" s="77"/>
    </row>
    <row r="182">
      <c r="P182" s="77"/>
    </row>
    <row r="183">
      <c r="P183" s="77"/>
    </row>
    <row r="184">
      <c r="P184" s="77"/>
    </row>
    <row r="185">
      <c r="P185" s="77"/>
    </row>
    <row r="186">
      <c r="P186" s="77"/>
    </row>
    <row r="187">
      <c r="P187" s="77"/>
    </row>
    <row r="188">
      <c r="P188" s="77"/>
    </row>
    <row r="189">
      <c r="P189" s="77"/>
    </row>
    <row r="190">
      <c r="P190" s="77"/>
    </row>
    <row r="191">
      <c r="P191" s="77"/>
    </row>
    <row r="192">
      <c r="P192" s="77"/>
    </row>
    <row r="193">
      <c r="P193" s="77"/>
    </row>
    <row r="194">
      <c r="P194" s="77"/>
    </row>
    <row r="195">
      <c r="P195" s="77"/>
    </row>
    <row r="196">
      <c r="P196" s="77"/>
    </row>
    <row r="197">
      <c r="P197" s="77"/>
    </row>
    <row r="198">
      <c r="P198" s="77"/>
    </row>
    <row r="199">
      <c r="P199" s="77"/>
    </row>
    <row r="200">
      <c r="P200" s="77"/>
    </row>
    <row r="201">
      <c r="P201" s="77"/>
    </row>
    <row r="202">
      <c r="P202" s="77"/>
    </row>
    <row r="203">
      <c r="P203" s="77"/>
    </row>
    <row r="204">
      <c r="P204" s="77"/>
    </row>
    <row r="205">
      <c r="P205" s="77"/>
    </row>
    <row r="206">
      <c r="P206" s="77"/>
    </row>
    <row r="207">
      <c r="P207" s="77"/>
    </row>
    <row r="208">
      <c r="P208" s="77"/>
    </row>
    <row r="209">
      <c r="P209" s="77"/>
    </row>
    <row r="210">
      <c r="P210" s="77"/>
    </row>
    <row r="211">
      <c r="P211" s="77"/>
    </row>
    <row r="212">
      <c r="P212" s="77"/>
    </row>
    <row r="213">
      <c r="P213" s="77"/>
    </row>
    <row r="214">
      <c r="P214" s="77"/>
    </row>
    <row r="215">
      <c r="P215" s="77"/>
    </row>
    <row r="216">
      <c r="P216" s="77"/>
    </row>
    <row r="217">
      <c r="P217" s="77"/>
    </row>
    <row r="218">
      <c r="P218" s="77"/>
    </row>
    <row r="219">
      <c r="P219" s="77"/>
    </row>
    <row r="220">
      <c r="P220" s="77"/>
    </row>
    <row r="221">
      <c r="P221" s="77"/>
    </row>
    <row r="222">
      <c r="P222" s="77"/>
    </row>
    <row r="223">
      <c r="P223" s="77"/>
    </row>
    <row r="224">
      <c r="P224" s="77"/>
    </row>
    <row r="225">
      <c r="P225" s="77"/>
    </row>
    <row r="226">
      <c r="P226" s="77"/>
    </row>
    <row r="227">
      <c r="P227" s="77"/>
    </row>
    <row r="228">
      <c r="P228" s="77"/>
    </row>
    <row r="229">
      <c r="P229" s="77"/>
    </row>
    <row r="230">
      <c r="P230" s="77"/>
    </row>
    <row r="231">
      <c r="P231" s="77"/>
    </row>
    <row r="232">
      <c r="P232" s="77"/>
    </row>
    <row r="233">
      <c r="P233" s="77"/>
    </row>
    <row r="234">
      <c r="P234" s="77"/>
    </row>
    <row r="235">
      <c r="P235" s="77"/>
    </row>
    <row r="236">
      <c r="P236" s="77"/>
    </row>
    <row r="237">
      <c r="P237" s="77"/>
    </row>
    <row r="238">
      <c r="P238" s="77"/>
    </row>
    <row r="239">
      <c r="P239" s="77"/>
    </row>
    <row r="240">
      <c r="P240" s="77"/>
    </row>
    <row r="241">
      <c r="P241" s="77"/>
    </row>
    <row r="242">
      <c r="P242" s="77"/>
    </row>
    <row r="243">
      <c r="P243" s="77"/>
    </row>
    <row r="244">
      <c r="P244" s="77"/>
    </row>
    <row r="245">
      <c r="P245" s="77"/>
    </row>
    <row r="246">
      <c r="P246" s="77"/>
    </row>
    <row r="247">
      <c r="P247" s="77"/>
    </row>
    <row r="248">
      <c r="P248" s="77"/>
    </row>
    <row r="249">
      <c r="P249" s="77"/>
    </row>
    <row r="250">
      <c r="P250" s="77"/>
    </row>
    <row r="251">
      <c r="P251" s="77"/>
    </row>
    <row r="252">
      <c r="P252" s="77"/>
    </row>
    <row r="253">
      <c r="P253" s="77"/>
    </row>
    <row r="254">
      <c r="P254" s="77"/>
    </row>
    <row r="255">
      <c r="P255" s="77"/>
    </row>
    <row r="256">
      <c r="P256" s="77"/>
    </row>
    <row r="257">
      <c r="P257" s="77"/>
    </row>
    <row r="258">
      <c r="P258" s="77"/>
    </row>
    <row r="259">
      <c r="P259" s="77"/>
    </row>
    <row r="260">
      <c r="P260" s="77"/>
    </row>
    <row r="261">
      <c r="P261" s="77"/>
    </row>
    <row r="262">
      <c r="P262" s="77"/>
    </row>
    <row r="263">
      <c r="P263" s="77"/>
    </row>
    <row r="264">
      <c r="P264" s="77"/>
    </row>
    <row r="265">
      <c r="P265" s="77"/>
    </row>
    <row r="266">
      <c r="P266" s="77"/>
    </row>
    <row r="267">
      <c r="P267" s="77"/>
    </row>
    <row r="268">
      <c r="P268" s="77"/>
    </row>
    <row r="269">
      <c r="P269" s="77"/>
    </row>
    <row r="270">
      <c r="P270" s="77"/>
    </row>
    <row r="271">
      <c r="P271" s="77"/>
    </row>
    <row r="272">
      <c r="P272" s="77"/>
    </row>
    <row r="273">
      <c r="P273" s="77"/>
    </row>
    <row r="274">
      <c r="P274" s="77"/>
    </row>
    <row r="275">
      <c r="P275" s="77"/>
    </row>
    <row r="276">
      <c r="P276" s="77"/>
    </row>
    <row r="277">
      <c r="P277" s="77"/>
    </row>
    <row r="278">
      <c r="P278" s="77"/>
    </row>
    <row r="279">
      <c r="P279" s="77"/>
    </row>
    <row r="280">
      <c r="P280" s="77"/>
    </row>
    <row r="281">
      <c r="P281" s="77"/>
    </row>
    <row r="282">
      <c r="P282" s="77"/>
    </row>
    <row r="283">
      <c r="P283" s="77"/>
    </row>
    <row r="284">
      <c r="P284" s="77"/>
    </row>
    <row r="285">
      <c r="P285" s="77"/>
    </row>
    <row r="286">
      <c r="P286" s="77"/>
    </row>
    <row r="287">
      <c r="P287" s="77"/>
    </row>
    <row r="288">
      <c r="P288" s="77"/>
    </row>
    <row r="289">
      <c r="P289" s="77"/>
    </row>
    <row r="290">
      <c r="P290" s="77"/>
    </row>
    <row r="291">
      <c r="P291" s="77"/>
    </row>
    <row r="292">
      <c r="P292" s="77"/>
    </row>
    <row r="293">
      <c r="P293" s="77"/>
    </row>
    <row r="294">
      <c r="P294" s="77"/>
    </row>
    <row r="295">
      <c r="P295" s="77"/>
    </row>
    <row r="296">
      <c r="P296" s="77"/>
    </row>
    <row r="297">
      <c r="P297" s="77"/>
    </row>
    <row r="298">
      <c r="P298" s="77"/>
    </row>
    <row r="299">
      <c r="P299" s="77"/>
    </row>
    <row r="300">
      <c r="P300" s="77"/>
    </row>
    <row r="301">
      <c r="P301" s="77"/>
    </row>
    <row r="302">
      <c r="P302" s="77"/>
    </row>
    <row r="303">
      <c r="P303" s="77"/>
    </row>
    <row r="304">
      <c r="P304" s="77"/>
    </row>
    <row r="305">
      <c r="P305" s="77"/>
    </row>
    <row r="306">
      <c r="P306" s="77"/>
    </row>
    <row r="307">
      <c r="P307" s="77"/>
    </row>
    <row r="308">
      <c r="P308" s="77"/>
    </row>
    <row r="309">
      <c r="P309" s="77"/>
    </row>
    <row r="310">
      <c r="P310" s="77"/>
    </row>
    <row r="311">
      <c r="P311" s="77"/>
    </row>
    <row r="312">
      <c r="P312" s="77"/>
    </row>
    <row r="313">
      <c r="P313" s="77"/>
    </row>
    <row r="314">
      <c r="P314" s="77"/>
    </row>
    <row r="315">
      <c r="P315" s="77"/>
    </row>
    <row r="316">
      <c r="P316" s="77"/>
    </row>
    <row r="317">
      <c r="P317" s="77"/>
    </row>
    <row r="318">
      <c r="P318" s="77"/>
    </row>
    <row r="319">
      <c r="P319" s="77"/>
    </row>
    <row r="320">
      <c r="P320" s="77"/>
    </row>
    <row r="321">
      <c r="P321" s="77"/>
    </row>
    <row r="322">
      <c r="P322" s="77"/>
    </row>
    <row r="323">
      <c r="P323" s="77"/>
    </row>
    <row r="324">
      <c r="P324" s="77"/>
    </row>
    <row r="325">
      <c r="P325" s="77"/>
    </row>
    <row r="326">
      <c r="P326" s="77"/>
    </row>
    <row r="327">
      <c r="P327" s="77"/>
    </row>
    <row r="328">
      <c r="P328" s="77"/>
    </row>
    <row r="329">
      <c r="P329" s="77"/>
    </row>
    <row r="330">
      <c r="P330" s="77"/>
    </row>
    <row r="331">
      <c r="P331" s="77"/>
    </row>
    <row r="332">
      <c r="P332" s="77"/>
    </row>
    <row r="333">
      <c r="P333" s="77"/>
    </row>
    <row r="334">
      <c r="P334" s="77"/>
    </row>
    <row r="335">
      <c r="P335" s="77"/>
    </row>
    <row r="336">
      <c r="P336" s="77"/>
    </row>
    <row r="337">
      <c r="P337" s="77"/>
    </row>
    <row r="338">
      <c r="P338" s="77"/>
    </row>
    <row r="339">
      <c r="P339" s="77"/>
    </row>
    <row r="340">
      <c r="P340" s="77"/>
    </row>
    <row r="341">
      <c r="P341" s="77"/>
    </row>
    <row r="342">
      <c r="P342" s="77"/>
    </row>
    <row r="343">
      <c r="P343" s="77"/>
    </row>
    <row r="344">
      <c r="P344" s="77"/>
    </row>
    <row r="345">
      <c r="P345" s="77"/>
    </row>
    <row r="346">
      <c r="P346" s="77"/>
    </row>
    <row r="347">
      <c r="P347" s="77"/>
    </row>
    <row r="348">
      <c r="P348" s="77"/>
    </row>
    <row r="349">
      <c r="P349" s="77"/>
    </row>
    <row r="350">
      <c r="P350" s="77"/>
    </row>
    <row r="351">
      <c r="P351" s="77"/>
    </row>
    <row r="352">
      <c r="P352" s="77"/>
    </row>
    <row r="353">
      <c r="P353" s="77"/>
    </row>
    <row r="354">
      <c r="P354" s="77"/>
    </row>
    <row r="355">
      <c r="P355" s="77"/>
    </row>
    <row r="356">
      <c r="P356" s="77"/>
    </row>
    <row r="357">
      <c r="P357" s="77"/>
    </row>
    <row r="358">
      <c r="P358" s="77"/>
    </row>
    <row r="359">
      <c r="P359" s="77"/>
    </row>
    <row r="360">
      <c r="P360" s="77"/>
    </row>
    <row r="361">
      <c r="P361" s="77"/>
    </row>
    <row r="362">
      <c r="P362" s="77"/>
    </row>
    <row r="363">
      <c r="P363" s="77"/>
    </row>
    <row r="364">
      <c r="P364" s="77"/>
    </row>
    <row r="365">
      <c r="P365" s="77"/>
    </row>
    <row r="366">
      <c r="P366" s="77"/>
    </row>
    <row r="367">
      <c r="P367" s="77"/>
    </row>
    <row r="368">
      <c r="P368" s="77"/>
    </row>
    <row r="369">
      <c r="P369" s="77"/>
    </row>
    <row r="370">
      <c r="P370" s="77"/>
    </row>
    <row r="371">
      <c r="P371" s="77"/>
    </row>
    <row r="372">
      <c r="P372" s="77"/>
    </row>
    <row r="373">
      <c r="P373" s="77"/>
    </row>
    <row r="374">
      <c r="P374" s="77"/>
    </row>
    <row r="375">
      <c r="P375" s="77"/>
    </row>
    <row r="376">
      <c r="P376" s="77"/>
    </row>
    <row r="377">
      <c r="P377" s="77"/>
    </row>
    <row r="378">
      <c r="P378" s="77"/>
    </row>
    <row r="379">
      <c r="P379" s="77"/>
    </row>
    <row r="380">
      <c r="P380" s="77"/>
    </row>
    <row r="381">
      <c r="P381" s="77"/>
    </row>
    <row r="382">
      <c r="P382" s="77"/>
    </row>
    <row r="383">
      <c r="P383" s="77"/>
    </row>
    <row r="384">
      <c r="P384" s="77"/>
    </row>
    <row r="385">
      <c r="P385" s="77"/>
    </row>
    <row r="386">
      <c r="P386" s="77"/>
    </row>
    <row r="387">
      <c r="P387" s="77"/>
    </row>
    <row r="388">
      <c r="P388" s="77"/>
    </row>
    <row r="389">
      <c r="P389" s="77"/>
    </row>
    <row r="390">
      <c r="P390" s="77"/>
    </row>
    <row r="391">
      <c r="P391" s="77"/>
    </row>
    <row r="392">
      <c r="P392" s="77"/>
    </row>
    <row r="393">
      <c r="P393" s="77"/>
    </row>
    <row r="394">
      <c r="P394" s="77"/>
    </row>
    <row r="395">
      <c r="P395" s="77"/>
    </row>
    <row r="396">
      <c r="P396" s="77"/>
    </row>
    <row r="397">
      <c r="P397" s="77"/>
    </row>
    <row r="398">
      <c r="P398" s="77"/>
    </row>
    <row r="399">
      <c r="P399" s="77"/>
    </row>
    <row r="400">
      <c r="P400" s="77"/>
    </row>
    <row r="401">
      <c r="P401" s="77"/>
    </row>
    <row r="402">
      <c r="P402" s="77"/>
    </row>
    <row r="403">
      <c r="P403" s="77"/>
    </row>
    <row r="404">
      <c r="P404" s="77"/>
    </row>
    <row r="405">
      <c r="P405" s="77"/>
    </row>
    <row r="406">
      <c r="P406" s="77"/>
    </row>
    <row r="407">
      <c r="P407" s="77"/>
    </row>
    <row r="408">
      <c r="P408" s="77"/>
    </row>
    <row r="409">
      <c r="P409" s="77"/>
    </row>
    <row r="410">
      <c r="P410" s="77"/>
    </row>
    <row r="411">
      <c r="P411" s="77"/>
    </row>
    <row r="412">
      <c r="P412" s="77"/>
    </row>
    <row r="413">
      <c r="P413" s="77"/>
    </row>
    <row r="414">
      <c r="P414" s="77"/>
    </row>
    <row r="415">
      <c r="P415" s="77"/>
    </row>
    <row r="416">
      <c r="P416" s="77"/>
    </row>
    <row r="417">
      <c r="P417" s="77"/>
    </row>
    <row r="418">
      <c r="P418" s="77"/>
    </row>
    <row r="419">
      <c r="P419" s="77"/>
    </row>
    <row r="420">
      <c r="P420" s="77"/>
    </row>
    <row r="421">
      <c r="P421" s="77"/>
    </row>
    <row r="422">
      <c r="P422" s="77"/>
    </row>
    <row r="423">
      <c r="P423" s="77"/>
    </row>
    <row r="424">
      <c r="P424" s="77"/>
    </row>
    <row r="425">
      <c r="P425" s="77"/>
    </row>
    <row r="426">
      <c r="P426" s="77"/>
    </row>
    <row r="427">
      <c r="P427" s="77"/>
    </row>
    <row r="428">
      <c r="P428" s="77"/>
    </row>
    <row r="429">
      <c r="P429" s="77"/>
    </row>
    <row r="430">
      <c r="P430" s="77"/>
    </row>
    <row r="431">
      <c r="P431" s="77"/>
    </row>
    <row r="432">
      <c r="P432" s="77"/>
    </row>
    <row r="433">
      <c r="P433" s="77"/>
    </row>
    <row r="434">
      <c r="P434" s="77"/>
    </row>
    <row r="435">
      <c r="P435" s="77"/>
    </row>
    <row r="436">
      <c r="P436" s="77"/>
    </row>
    <row r="437">
      <c r="P437" s="77"/>
    </row>
    <row r="438">
      <c r="P438" s="77"/>
    </row>
    <row r="439">
      <c r="P439" s="77"/>
    </row>
    <row r="440">
      <c r="P440" s="77"/>
    </row>
    <row r="441">
      <c r="P441" s="77"/>
    </row>
    <row r="442">
      <c r="P442" s="77"/>
    </row>
    <row r="443">
      <c r="P443" s="77"/>
    </row>
    <row r="444">
      <c r="P444" s="77"/>
    </row>
    <row r="445">
      <c r="P445" s="77"/>
    </row>
    <row r="446">
      <c r="P446" s="77"/>
    </row>
    <row r="447">
      <c r="P447" s="77"/>
    </row>
    <row r="448">
      <c r="P448" s="77"/>
    </row>
    <row r="449">
      <c r="P449" s="77"/>
    </row>
    <row r="450">
      <c r="P450" s="77"/>
    </row>
    <row r="451">
      <c r="P451" s="77"/>
    </row>
    <row r="452">
      <c r="P452" s="77"/>
    </row>
    <row r="453">
      <c r="P453" s="77"/>
    </row>
    <row r="454">
      <c r="P454" s="77"/>
    </row>
    <row r="455">
      <c r="P455" s="77"/>
    </row>
    <row r="456">
      <c r="P456" s="77"/>
    </row>
    <row r="457">
      <c r="P457" s="77"/>
    </row>
    <row r="458">
      <c r="P458" s="77"/>
    </row>
    <row r="459">
      <c r="P459" s="77"/>
    </row>
    <row r="460">
      <c r="P460" s="77"/>
    </row>
    <row r="461">
      <c r="P461" s="77"/>
    </row>
    <row r="462">
      <c r="P462" s="77"/>
    </row>
    <row r="463">
      <c r="P463" s="77"/>
    </row>
    <row r="464">
      <c r="P464" s="77"/>
    </row>
    <row r="465">
      <c r="P465" s="77"/>
    </row>
    <row r="466">
      <c r="P466" s="77"/>
    </row>
    <row r="467">
      <c r="P467" s="77"/>
    </row>
    <row r="468">
      <c r="P468" s="77"/>
    </row>
    <row r="469">
      <c r="P469" s="77"/>
    </row>
    <row r="470">
      <c r="P470" s="77"/>
    </row>
    <row r="471">
      <c r="P471" s="77"/>
    </row>
    <row r="472">
      <c r="P472" s="77"/>
    </row>
    <row r="473">
      <c r="P473" s="77"/>
    </row>
    <row r="474">
      <c r="P474" s="77"/>
    </row>
    <row r="475">
      <c r="P475" s="77"/>
    </row>
    <row r="476">
      <c r="P476" s="77"/>
    </row>
    <row r="477">
      <c r="P477" s="77"/>
    </row>
    <row r="478">
      <c r="P478" s="77"/>
    </row>
    <row r="479">
      <c r="P479" s="77"/>
    </row>
    <row r="480">
      <c r="P480" s="77"/>
    </row>
    <row r="481">
      <c r="P481" s="77"/>
    </row>
    <row r="482">
      <c r="P482" s="77"/>
    </row>
    <row r="483">
      <c r="P483" s="77"/>
    </row>
    <row r="484">
      <c r="P484" s="77"/>
    </row>
    <row r="485">
      <c r="P485" s="77"/>
    </row>
    <row r="486">
      <c r="P486" s="77"/>
    </row>
    <row r="487">
      <c r="P487" s="77"/>
    </row>
    <row r="488">
      <c r="P488" s="77"/>
    </row>
    <row r="489">
      <c r="P489" s="77"/>
    </row>
    <row r="490">
      <c r="P490" s="77"/>
    </row>
    <row r="491">
      <c r="P491" s="77"/>
    </row>
    <row r="492">
      <c r="P492" s="77"/>
    </row>
    <row r="493">
      <c r="P493" s="77"/>
    </row>
    <row r="494">
      <c r="P494" s="77"/>
    </row>
    <row r="495">
      <c r="P495" s="77"/>
    </row>
    <row r="496">
      <c r="P496" s="77"/>
    </row>
    <row r="497">
      <c r="P497" s="77"/>
    </row>
    <row r="498">
      <c r="P498" s="77"/>
    </row>
    <row r="499">
      <c r="P499" s="77"/>
    </row>
    <row r="500">
      <c r="P500" s="77"/>
    </row>
    <row r="501">
      <c r="P501" s="77"/>
    </row>
    <row r="502">
      <c r="P502" s="77"/>
    </row>
    <row r="503">
      <c r="P503" s="77"/>
    </row>
    <row r="504">
      <c r="P504" s="77"/>
    </row>
    <row r="505">
      <c r="P505" s="77"/>
    </row>
    <row r="506">
      <c r="P506" s="77"/>
    </row>
    <row r="507">
      <c r="P507" s="77"/>
    </row>
    <row r="508">
      <c r="P508" s="77"/>
    </row>
    <row r="509">
      <c r="P509" s="77"/>
    </row>
    <row r="510">
      <c r="P510" s="77"/>
    </row>
    <row r="511">
      <c r="P511" s="77"/>
    </row>
    <row r="512">
      <c r="P512" s="77"/>
    </row>
    <row r="513">
      <c r="P513" s="77"/>
    </row>
    <row r="514">
      <c r="P514" s="77"/>
    </row>
    <row r="515">
      <c r="P515" s="77"/>
    </row>
    <row r="516">
      <c r="P516" s="77"/>
    </row>
    <row r="517">
      <c r="P517" s="77"/>
    </row>
    <row r="518">
      <c r="P518" s="77"/>
    </row>
    <row r="519">
      <c r="P519" s="77"/>
    </row>
    <row r="520">
      <c r="P520" s="77"/>
    </row>
    <row r="521">
      <c r="P521" s="77"/>
    </row>
    <row r="522">
      <c r="P522" s="77"/>
    </row>
    <row r="523">
      <c r="P523" s="77"/>
    </row>
    <row r="524">
      <c r="P524" s="77"/>
    </row>
    <row r="525">
      <c r="P525" s="77"/>
    </row>
    <row r="526">
      <c r="P526" s="77"/>
    </row>
    <row r="527">
      <c r="P527" s="77"/>
    </row>
    <row r="528">
      <c r="P528" s="77"/>
    </row>
    <row r="529">
      <c r="P529" s="77"/>
    </row>
    <row r="530">
      <c r="P530" s="77"/>
    </row>
    <row r="531">
      <c r="P531" s="77"/>
    </row>
    <row r="532">
      <c r="P532" s="77"/>
    </row>
    <row r="533">
      <c r="P533" s="77"/>
    </row>
    <row r="534">
      <c r="P534" s="77"/>
    </row>
    <row r="535">
      <c r="P535" s="77"/>
    </row>
    <row r="536">
      <c r="P536" s="77"/>
    </row>
    <row r="537">
      <c r="P537" s="77"/>
    </row>
    <row r="538">
      <c r="P538" s="77"/>
    </row>
    <row r="539">
      <c r="P539" s="77"/>
    </row>
    <row r="540">
      <c r="P540" s="77"/>
    </row>
    <row r="541">
      <c r="P541" s="77"/>
    </row>
    <row r="542">
      <c r="P542" s="77"/>
    </row>
    <row r="543">
      <c r="P543" s="77"/>
    </row>
    <row r="544">
      <c r="P544" s="77"/>
    </row>
    <row r="545">
      <c r="P545" s="77"/>
    </row>
    <row r="546">
      <c r="P546" s="77"/>
    </row>
    <row r="547">
      <c r="P547" s="77"/>
    </row>
    <row r="548">
      <c r="P548" s="77"/>
    </row>
    <row r="549">
      <c r="P549" s="77"/>
    </row>
    <row r="550">
      <c r="P550" s="77"/>
    </row>
    <row r="551">
      <c r="P551" s="77"/>
    </row>
    <row r="552">
      <c r="P552" s="77"/>
    </row>
    <row r="553">
      <c r="P553" s="77"/>
    </row>
    <row r="554">
      <c r="P554" s="77"/>
    </row>
    <row r="555">
      <c r="P555" s="77"/>
    </row>
    <row r="556">
      <c r="P556" s="77"/>
    </row>
    <row r="557">
      <c r="P557" s="77"/>
    </row>
    <row r="558">
      <c r="P558" s="77"/>
    </row>
    <row r="559">
      <c r="P559" s="77"/>
    </row>
    <row r="560">
      <c r="P560" s="77"/>
    </row>
    <row r="561">
      <c r="P561" s="77"/>
    </row>
    <row r="562">
      <c r="P562" s="77"/>
    </row>
    <row r="563">
      <c r="P563" s="77"/>
    </row>
    <row r="564">
      <c r="P564" s="77"/>
    </row>
    <row r="565">
      <c r="P565" s="77"/>
    </row>
    <row r="566">
      <c r="P566" s="77"/>
    </row>
    <row r="567">
      <c r="P567" s="77"/>
    </row>
    <row r="568">
      <c r="P568" s="77"/>
    </row>
    <row r="569">
      <c r="P569" s="77"/>
    </row>
    <row r="570">
      <c r="P570" s="77"/>
    </row>
    <row r="571">
      <c r="P571" s="77"/>
    </row>
    <row r="572">
      <c r="P572" s="77"/>
    </row>
    <row r="573">
      <c r="P573" s="77"/>
    </row>
    <row r="574">
      <c r="P574" s="77"/>
    </row>
    <row r="575">
      <c r="P575" s="77"/>
    </row>
    <row r="576">
      <c r="P576" s="77"/>
    </row>
    <row r="577">
      <c r="P577" s="77"/>
    </row>
    <row r="578">
      <c r="P578" s="77"/>
    </row>
    <row r="579">
      <c r="P579" s="77"/>
    </row>
    <row r="580">
      <c r="P580" s="77"/>
    </row>
    <row r="581">
      <c r="P581" s="77"/>
    </row>
    <row r="582">
      <c r="P582" s="77"/>
    </row>
    <row r="583">
      <c r="P583" s="77"/>
    </row>
    <row r="584">
      <c r="P584" s="77"/>
    </row>
    <row r="585">
      <c r="P585" s="77"/>
    </row>
    <row r="586">
      <c r="P586" s="77"/>
    </row>
    <row r="587">
      <c r="P587" s="77"/>
    </row>
    <row r="588">
      <c r="P588" s="77"/>
    </row>
    <row r="589">
      <c r="P589" s="77"/>
    </row>
    <row r="590">
      <c r="P590" s="77"/>
    </row>
    <row r="591">
      <c r="P591" s="77"/>
    </row>
    <row r="592">
      <c r="P592" s="77"/>
    </row>
    <row r="593">
      <c r="P593" s="77"/>
    </row>
    <row r="594">
      <c r="P594" s="77"/>
    </row>
    <row r="595">
      <c r="P595" s="77"/>
    </row>
    <row r="596">
      <c r="P596" s="77"/>
    </row>
    <row r="597">
      <c r="P597" s="77"/>
    </row>
    <row r="598">
      <c r="P598" s="77"/>
    </row>
    <row r="599">
      <c r="P599" s="77"/>
    </row>
    <row r="600">
      <c r="P600" s="77"/>
    </row>
    <row r="601">
      <c r="P601" s="77"/>
    </row>
    <row r="602">
      <c r="P602" s="77"/>
    </row>
    <row r="603">
      <c r="P603" s="77"/>
    </row>
    <row r="604">
      <c r="P604" s="77"/>
    </row>
    <row r="605">
      <c r="P605" s="77"/>
    </row>
    <row r="606">
      <c r="P606" s="77"/>
    </row>
    <row r="607">
      <c r="P607" s="77"/>
    </row>
    <row r="608">
      <c r="P608" s="77"/>
    </row>
    <row r="609">
      <c r="P609" s="77"/>
    </row>
    <row r="610">
      <c r="P610" s="77"/>
    </row>
    <row r="611">
      <c r="P611" s="77"/>
    </row>
    <row r="612">
      <c r="P612" s="77"/>
    </row>
    <row r="613">
      <c r="P613" s="77"/>
    </row>
    <row r="614">
      <c r="P614" s="77"/>
    </row>
    <row r="615">
      <c r="P615" s="77"/>
    </row>
    <row r="616">
      <c r="P616" s="77"/>
    </row>
    <row r="617">
      <c r="P617" s="77"/>
    </row>
    <row r="618">
      <c r="P618" s="77"/>
    </row>
    <row r="619">
      <c r="P619" s="77"/>
    </row>
    <row r="620">
      <c r="P620" s="77"/>
    </row>
    <row r="621">
      <c r="P621" s="77"/>
    </row>
    <row r="622">
      <c r="P622" s="77"/>
    </row>
    <row r="623">
      <c r="P623" s="77"/>
    </row>
    <row r="624">
      <c r="P624" s="77"/>
    </row>
    <row r="625">
      <c r="P625" s="77"/>
    </row>
    <row r="626">
      <c r="P626" s="77"/>
    </row>
    <row r="627">
      <c r="P627" s="77"/>
    </row>
    <row r="628">
      <c r="P628" s="77"/>
    </row>
    <row r="629">
      <c r="P629" s="77"/>
    </row>
    <row r="630">
      <c r="P630" s="77"/>
    </row>
    <row r="631">
      <c r="P631" s="77"/>
    </row>
    <row r="632">
      <c r="P632" s="77"/>
    </row>
    <row r="633">
      <c r="P633" s="77"/>
    </row>
    <row r="634">
      <c r="P634" s="77"/>
    </row>
    <row r="635">
      <c r="P635" s="77"/>
    </row>
    <row r="636">
      <c r="P636" s="77"/>
    </row>
    <row r="637">
      <c r="P637" s="77"/>
    </row>
    <row r="638">
      <c r="P638" s="77"/>
    </row>
    <row r="639">
      <c r="P639" s="77"/>
    </row>
    <row r="640">
      <c r="P640" s="77"/>
    </row>
    <row r="641">
      <c r="P641" s="77"/>
    </row>
    <row r="642">
      <c r="P642" s="77"/>
    </row>
    <row r="643">
      <c r="P643" s="77"/>
    </row>
    <row r="644">
      <c r="P644" s="77"/>
    </row>
    <row r="645">
      <c r="P645" s="77"/>
    </row>
    <row r="646">
      <c r="P646" s="77"/>
    </row>
    <row r="647">
      <c r="P647" s="77"/>
    </row>
    <row r="648">
      <c r="P648" s="77"/>
    </row>
    <row r="649">
      <c r="P649" s="77"/>
    </row>
    <row r="650">
      <c r="P650" s="77"/>
    </row>
    <row r="651">
      <c r="P651" s="77"/>
    </row>
    <row r="652">
      <c r="P652" s="77"/>
    </row>
    <row r="653">
      <c r="P653" s="77"/>
    </row>
    <row r="654">
      <c r="P654" s="77"/>
    </row>
    <row r="655">
      <c r="P655" s="77"/>
    </row>
    <row r="656">
      <c r="P656" s="77"/>
    </row>
    <row r="657">
      <c r="P657" s="77"/>
    </row>
    <row r="658">
      <c r="P658" s="77"/>
    </row>
    <row r="659">
      <c r="P659" s="77"/>
    </row>
    <row r="660">
      <c r="P660" s="77"/>
    </row>
    <row r="661">
      <c r="P661" s="77"/>
    </row>
    <row r="662">
      <c r="P662" s="77"/>
    </row>
    <row r="663">
      <c r="P663" s="77"/>
    </row>
    <row r="664">
      <c r="P664" s="77"/>
    </row>
    <row r="665">
      <c r="P665" s="77"/>
    </row>
    <row r="666">
      <c r="P666" s="77"/>
    </row>
    <row r="667">
      <c r="P667" s="77"/>
    </row>
    <row r="668">
      <c r="P668" s="77"/>
    </row>
    <row r="669">
      <c r="P669" s="77"/>
    </row>
    <row r="670">
      <c r="P670" s="77"/>
    </row>
    <row r="671">
      <c r="P671" s="77"/>
    </row>
    <row r="672">
      <c r="P672" s="77"/>
    </row>
    <row r="673">
      <c r="P673" s="77"/>
    </row>
    <row r="674">
      <c r="P674" s="77"/>
    </row>
    <row r="675">
      <c r="P675" s="77"/>
    </row>
    <row r="676">
      <c r="P676" s="77"/>
    </row>
    <row r="677">
      <c r="P677" s="77"/>
    </row>
    <row r="678">
      <c r="P678" s="77"/>
    </row>
    <row r="679">
      <c r="P679" s="77"/>
    </row>
    <row r="680">
      <c r="P680" s="77"/>
    </row>
    <row r="681">
      <c r="P681" s="77"/>
    </row>
    <row r="682">
      <c r="P682" s="77"/>
    </row>
    <row r="683">
      <c r="P683" s="77"/>
    </row>
    <row r="684">
      <c r="P684" s="77"/>
    </row>
    <row r="685">
      <c r="P685" s="77"/>
    </row>
    <row r="686">
      <c r="P686" s="77"/>
    </row>
    <row r="687">
      <c r="P687" s="77"/>
    </row>
    <row r="688">
      <c r="P688" s="77"/>
    </row>
    <row r="689">
      <c r="P689" s="77"/>
    </row>
    <row r="690">
      <c r="P690" s="77"/>
    </row>
    <row r="691">
      <c r="P691" s="77"/>
    </row>
    <row r="692">
      <c r="P692" s="77"/>
    </row>
    <row r="693">
      <c r="P693" s="77"/>
    </row>
    <row r="694">
      <c r="P694" s="77"/>
    </row>
    <row r="695">
      <c r="P695" s="77"/>
    </row>
    <row r="696">
      <c r="P696" s="77"/>
    </row>
    <row r="697">
      <c r="P697" s="77"/>
    </row>
    <row r="698">
      <c r="P698" s="77"/>
    </row>
    <row r="699">
      <c r="P699" s="77"/>
    </row>
    <row r="700">
      <c r="P700" s="77"/>
    </row>
    <row r="701">
      <c r="P701" s="77"/>
    </row>
    <row r="702">
      <c r="P702" s="77"/>
    </row>
    <row r="703">
      <c r="P703" s="77"/>
    </row>
    <row r="704">
      <c r="P704" s="77"/>
    </row>
    <row r="705">
      <c r="P705" s="77"/>
    </row>
    <row r="706">
      <c r="P706" s="77"/>
    </row>
    <row r="707">
      <c r="P707" s="77"/>
    </row>
    <row r="708">
      <c r="P708" s="77"/>
    </row>
    <row r="709">
      <c r="P709" s="77"/>
    </row>
    <row r="710">
      <c r="P710" s="77"/>
    </row>
    <row r="711">
      <c r="P711" s="77"/>
    </row>
    <row r="712">
      <c r="P712" s="77"/>
    </row>
    <row r="713">
      <c r="P713" s="77"/>
    </row>
    <row r="714">
      <c r="P714" s="77"/>
    </row>
    <row r="715">
      <c r="P715" s="77"/>
    </row>
    <row r="716">
      <c r="P716" s="77"/>
    </row>
    <row r="717">
      <c r="P717" s="77"/>
    </row>
    <row r="718">
      <c r="P718" s="77"/>
    </row>
    <row r="719">
      <c r="P719" s="77"/>
    </row>
    <row r="720">
      <c r="P720" s="77"/>
    </row>
    <row r="721">
      <c r="P721" s="77"/>
    </row>
    <row r="722">
      <c r="P722" s="77"/>
    </row>
    <row r="723">
      <c r="P723" s="77"/>
    </row>
    <row r="724">
      <c r="P724" s="77"/>
    </row>
    <row r="725">
      <c r="P725" s="77"/>
    </row>
    <row r="726">
      <c r="P726" s="77"/>
    </row>
    <row r="727">
      <c r="P727" s="77"/>
    </row>
    <row r="728">
      <c r="P728" s="77"/>
    </row>
    <row r="729">
      <c r="P729" s="77"/>
    </row>
    <row r="730">
      <c r="P730" s="77"/>
    </row>
    <row r="731">
      <c r="P731" s="77"/>
    </row>
    <row r="732">
      <c r="P732" s="77"/>
    </row>
    <row r="733">
      <c r="P733" s="77"/>
    </row>
    <row r="734">
      <c r="P734" s="77"/>
    </row>
    <row r="735">
      <c r="P735" s="77"/>
    </row>
    <row r="736">
      <c r="P736" s="77"/>
    </row>
    <row r="737">
      <c r="P737" s="77"/>
    </row>
    <row r="738">
      <c r="P738" s="77"/>
    </row>
    <row r="739">
      <c r="P739" s="77"/>
    </row>
    <row r="740">
      <c r="P740" s="77"/>
    </row>
    <row r="741">
      <c r="P741" s="77"/>
    </row>
    <row r="742">
      <c r="P742" s="77"/>
    </row>
    <row r="743">
      <c r="P743" s="77"/>
    </row>
    <row r="744">
      <c r="P744" s="77"/>
    </row>
    <row r="745">
      <c r="P745" s="77"/>
    </row>
    <row r="746">
      <c r="P746" s="77"/>
    </row>
    <row r="747">
      <c r="P747" s="77"/>
    </row>
    <row r="748">
      <c r="P748" s="77"/>
    </row>
    <row r="749">
      <c r="P749" s="77"/>
    </row>
    <row r="750">
      <c r="P750" s="77"/>
    </row>
    <row r="751">
      <c r="P751" s="77"/>
    </row>
    <row r="752">
      <c r="P752" s="77"/>
    </row>
    <row r="753">
      <c r="P753" s="77"/>
    </row>
    <row r="754">
      <c r="P754" s="77"/>
    </row>
    <row r="755">
      <c r="P755" s="77"/>
    </row>
    <row r="756">
      <c r="P756" s="77"/>
    </row>
    <row r="757">
      <c r="P757" s="77"/>
    </row>
    <row r="758">
      <c r="P758" s="77"/>
    </row>
    <row r="759">
      <c r="P759" s="77"/>
    </row>
    <row r="760">
      <c r="P760" s="77"/>
    </row>
    <row r="761">
      <c r="P761" s="77"/>
    </row>
    <row r="762">
      <c r="P762" s="77"/>
    </row>
    <row r="763">
      <c r="P763" s="77"/>
    </row>
    <row r="764">
      <c r="P764" s="77"/>
    </row>
    <row r="765">
      <c r="P765" s="77"/>
    </row>
    <row r="766">
      <c r="P766" s="77"/>
    </row>
    <row r="767">
      <c r="P767" s="77"/>
    </row>
    <row r="768">
      <c r="P768" s="77"/>
    </row>
    <row r="769">
      <c r="P769" s="77"/>
    </row>
    <row r="770">
      <c r="P770" s="77"/>
    </row>
    <row r="771">
      <c r="P771" s="77"/>
    </row>
    <row r="772">
      <c r="P772" s="77"/>
    </row>
    <row r="773">
      <c r="P773" s="77"/>
    </row>
    <row r="774">
      <c r="P774" s="77"/>
    </row>
    <row r="775">
      <c r="P775" s="77"/>
    </row>
    <row r="776">
      <c r="P776" s="77"/>
    </row>
    <row r="777">
      <c r="P777" s="77"/>
    </row>
    <row r="778">
      <c r="P778" s="77"/>
    </row>
    <row r="779">
      <c r="P779" s="77"/>
    </row>
    <row r="780">
      <c r="P780" s="77"/>
    </row>
    <row r="781">
      <c r="P781" s="77"/>
    </row>
    <row r="782">
      <c r="P782" s="77"/>
    </row>
    <row r="783">
      <c r="P783" s="77"/>
    </row>
    <row r="784">
      <c r="P784" s="77"/>
    </row>
    <row r="785">
      <c r="P785" s="77"/>
    </row>
    <row r="786">
      <c r="P786" s="77"/>
    </row>
    <row r="787">
      <c r="P787" s="77"/>
    </row>
    <row r="788">
      <c r="P788" s="77"/>
    </row>
    <row r="789">
      <c r="P789" s="77"/>
    </row>
    <row r="790">
      <c r="P790" s="77"/>
    </row>
    <row r="791">
      <c r="P791" s="77"/>
    </row>
    <row r="792">
      <c r="P792" s="77"/>
    </row>
    <row r="793">
      <c r="P793" s="77"/>
    </row>
    <row r="794">
      <c r="P794" s="77"/>
    </row>
    <row r="795">
      <c r="P795" s="77"/>
    </row>
    <row r="796">
      <c r="P796" s="77"/>
    </row>
    <row r="797">
      <c r="P797" s="77"/>
    </row>
    <row r="798">
      <c r="P798" s="77"/>
    </row>
    <row r="799">
      <c r="P799" s="77"/>
    </row>
    <row r="800">
      <c r="P800" s="77"/>
    </row>
    <row r="801">
      <c r="P801" s="77"/>
    </row>
    <row r="802">
      <c r="P802" s="77"/>
    </row>
    <row r="803">
      <c r="P803" s="77"/>
    </row>
    <row r="804">
      <c r="P804" s="77"/>
    </row>
    <row r="805">
      <c r="P805" s="77"/>
    </row>
    <row r="806">
      <c r="P806" s="77"/>
    </row>
    <row r="807">
      <c r="P807" s="77"/>
    </row>
    <row r="808">
      <c r="P808" s="77"/>
    </row>
    <row r="809">
      <c r="P809" s="77"/>
    </row>
    <row r="810">
      <c r="P810" s="77"/>
    </row>
    <row r="811">
      <c r="P811" s="77"/>
    </row>
    <row r="812">
      <c r="P812" s="77"/>
    </row>
    <row r="813">
      <c r="P813" s="77"/>
    </row>
    <row r="814">
      <c r="P814" s="77"/>
    </row>
    <row r="815">
      <c r="P815" s="77"/>
    </row>
    <row r="816">
      <c r="P816" s="77"/>
    </row>
    <row r="817">
      <c r="P817" s="77"/>
    </row>
    <row r="818">
      <c r="P818" s="77"/>
    </row>
    <row r="819">
      <c r="P819" s="77"/>
    </row>
    <row r="820">
      <c r="P820" s="77"/>
    </row>
    <row r="821">
      <c r="P821" s="77"/>
    </row>
    <row r="822">
      <c r="P822" s="77"/>
    </row>
    <row r="823">
      <c r="P823" s="77"/>
    </row>
    <row r="824">
      <c r="P824" s="77"/>
    </row>
    <row r="825">
      <c r="P825" s="77"/>
    </row>
    <row r="826">
      <c r="P826" s="77"/>
    </row>
    <row r="827">
      <c r="P827" s="77"/>
    </row>
    <row r="828">
      <c r="P828" s="77"/>
    </row>
    <row r="829">
      <c r="P829" s="77"/>
    </row>
    <row r="830">
      <c r="P830" s="77"/>
    </row>
    <row r="831">
      <c r="P831" s="77"/>
    </row>
    <row r="832">
      <c r="P832" s="77"/>
    </row>
    <row r="833">
      <c r="P833" s="77"/>
    </row>
    <row r="834">
      <c r="P834" s="77"/>
    </row>
    <row r="835">
      <c r="P835" s="77"/>
    </row>
    <row r="836">
      <c r="P836" s="77"/>
    </row>
    <row r="837">
      <c r="P837" s="77"/>
    </row>
    <row r="838">
      <c r="P838" s="77"/>
    </row>
    <row r="839">
      <c r="P839" s="77"/>
    </row>
    <row r="840">
      <c r="P840" s="77"/>
    </row>
    <row r="841">
      <c r="P841" s="77"/>
    </row>
    <row r="842">
      <c r="P842" s="77"/>
    </row>
    <row r="843">
      <c r="P843" s="77"/>
    </row>
    <row r="844">
      <c r="P844" s="77"/>
    </row>
    <row r="845">
      <c r="P845" s="77"/>
    </row>
    <row r="846">
      <c r="P846" s="77"/>
    </row>
    <row r="847">
      <c r="P847" s="77"/>
    </row>
    <row r="848">
      <c r="P848" s="77"/>
    </row>
    <row r="849">
      <c r="P849" s="77"/>
    </row>
    <row r="850">
      <c r="P850" s="77"/>
    </row>
    <row r="851">
      <c r="P851" s="77"/>
    </row>
    <row r="852">
      <c r="P852" s="77"/>
    </row>
    <row r="853">
      <c r="P853" s="77"/>
    </row>
    <row r="854">
      <c r="P854" s="77"/>
    </row>
    <row r="855">
      <c r="P855" s="77"/>
    </row>
    <row r="856">
      <c r="P856" s="77"/>
    </row>
    <row r="857">
      <c r="P857" s="77"/>
    </row>
    <row r="858">
      <c r="P858" s="77"/>
    </row>
    <row r="859">
      <c r="P859" s="77"/>
    </row>
    <row r="860">
      <c r="P860" s="77"/>
    </row>
    <row r="861">
      <c r="P861" s="77"/>
    </row>
    <row r="862">
      <c r="P862" s="77"/>
    </row>
    <row r="863">
      <c r="P863" s="77"/>
    </row>
    <row r="864">
      <c r="P864" s="77"/>
    </row>
    <row r="865">
      <c r="P865" s="77"/>
    </row>
    <row r="866">
      <c r="P866" s="77"/>
    </row>
    <row r="867">
      <c r="P867" s="77"/>
    </row>
    <row r="868">
      <c r="P868" s="77"/>
    </row>
    <row r="869">
      <c r="P869" s="77"/>
    </row>
    <row r="870">
      <c r="P870" s="77"/>
    </row>
    <row r="871">
      <c r="P871" s="77"/>
    </row>
    <row r="872">
      <c r="P872" s="77"/>
    </row>
    <row r="873">
      <c r="P873" s="77"/>
    </row>
    <row r="874">
      <c r="P874" s="77"/>
    </row>
    <row r="875">
      <c r="P875" s="77"/>
    </row>
    <row r="876">
      <c r="P876" s="77"/>
    </row>
    <row r="877">
      <c r="P877" s="77"/>
    </row>
    <row r="878">
      <c r="P878" s="77"/>
    </row>
    <row r="879">
      <c r="P879" s="77"/>
    </row>
    <row r="880">
      <c r="P880" s="77"/>
    </row>
    <row r="881">
      <c r="P881" s="77"/>
    </row>
    <row r="882">
      <c r="P882" s="77"/>
    </row>
    <row r="883">
      <c r="P883" s="77"/>
    </row>
    <row r="884">
      <c r="P884" s="77"/>
    </row>
    <row r="885">
      <c r="P885" s="77"/>
    </row>
    <row r="886">
      <c r="P886" s="77"/>
    </row>
    <row r="887">
      <c r="P887" s="77"/>
    </row>
    <row r="888">
      <c r="P888" s="77"/>
    </row>
    <row r="889">
      <c r="P889" s="77"/>
    </row>
    <row r="890">
      <c r="P890" s="77"/>
    </row>
    <row r="891">
      <c r="P891" s="77"/>
    </row>
    <row r="892">
      <c r="P892" s="77"/>
    </row>
    <row r="893">
      <c r="P893" s="77"/>
    </row>
    <row r="894">
      <c r="P894" s="77"/>
    </row>
    <row r="895">
      <c r="P895" s="77"/>
    </row>
    <row r="896">
      <c r="P896" s="77"/>
    </row>
    <row r="897">
      <c r="P897" s="77"/>
    </row>
    <row r="898">
      <c r="P898" s="77"/>
    </row>
    <row r="899">
      <c r="P899" s="77"/>
    </row>
    <row r="900">
      <c r="P900" s="77"/>
    </row>
    <row r="901">
      <c r="P901" s="77"/>
    </row>
    <row r="902">
      <c r="P902" s="77"/>
    </row>
    <row r="903">
      <c r="P903" s="77"/>
    </row>
    <row r="904">
      <c r="P904" s="77"/>
    </row>
    <row r="905">
      <c r="P905" s="77"/>
    </row>
    <row r="906">
      <c r="P906" s="77"/>
    </row>
    <row r="907">
      <c r="P907" s="77"/>
    </row>
    <row r="908">
      <c r="P908" s="77"/>
    </row>
    <row r="909">
      <c r="P909" s="77"/>
    </row>
    <row r="910">
      <c r="P910" s="77"/>
    </row>
    <row r="911">
      <c r="P911" s="77"/>
    </row>
    <row r="912">
      <c r="P912" s="77"/>
    </row>
    <row r="913">
      <c r="P913" s="77"/>
    </row>
    <row r="914">
      <c r="P914" s="77"/>
    </row>
    <row r="915">
      <c r="P915" s="77"/>
    </row>
    <row r="916">
      <c r="P916" s="77"/>
    </row>
    <row r="917">
      <c r="P917" s="77"/>
    </row>
    <row r="918">
      <c r="P918" s="77"/>
    </row>
    <row r="919">
      <c r="P919" s="77"/>
    </row>
    <row r="920">
      <c r="P920" s="77"/>
    </row>
    <row r="921">
      <c r="P921" s="77"/>
    </row>
    <row r="922">
      <c r="P922" s="77"/>
    </row>
    <row r="923">
      <c r="P923" s="77"/>
    </row>
    <row r="924">
      <c r="P924" s="77"/>
    </row>
    <row r="925">
      <c r="P925" s="77"/>
    </row>
    <row r="926">
      <c r="P926" s="77"/>
    </row>
    <row r="927">
      <c r="P927" s="77"/>
    </row>
    <row r="928">
      <c r="P928" s="77"/>
    </row>
    <row r="929">
      <c r="P929" s="77"/>
    </row>
    <row r="930">
      <c r="P930" s="77"/>
    </row>
    <row r="931">
      <c r="P931" s="77"/>
    </row>
    <row r="932">
      <c r="P932" s="77"/>
    </row>
    <row r="933">
      <c r="P933" s="77"/>
    </row>
    <row r="934">
      <c r="P934" s="77"/>
    </row>
    <row r="935">
      <c r="P935" s="77"/>
    </row>
    <row r="936">
      <c r="P936" s="77"/>
    </row>
    <row r="937">
      <c r="P937" s="77"/>
    </row>
    <row r="938">
      <c r="P938" s="77"/>
    </row>
    <row r="939">
      <c r="P939" s="77"/>
    </row>
    <row r="940">
      <c r="P940" s="77"/>
    </row>
    <row r="941">
      <c r="P941" s="77"/>
    </row>
    <row r="942">
      <c r="P942" s="77"/>
    </row>
    <row r="943">
      <c r="P943" s="77"/>
    </row>
    <row r="944">
      <c r="P944" s="77"/>
    </row>
    <row r="945">
      <c r="P945" s="77"/>
    </row>
    <row r="946">
      <c r="P946" s="77"/>
    </row>
    <row r="947">
      <c r="P947" s="77"/>
    </row>
    <row r="948">
      <c r="P948" s="77"/>
    </row>
    <row r="949">
      <c r="P949" s="77"/>
    </row>
    <row r="950">
      <c r="P950" s="77"/>
    </row>
    <row r="951">
      <c r="P951" s="77"/>
    </row>
    <row r="952">
      <c r="P952" s="77"/>
    </row>
    <row r="953">
      <c r="P953" s="77"/>
    </row>
    <row r="954">
      <c r="P954" s="77"/>
    </row>
    <row r="955">
      <c r="P955" s="77"/>
    </row>
    <row r="956">
      <c r="P956" s="77"/>
    </row>
    <row r="957">
      <c r="P957" s="77"/>
    </row>
    <row r="958">
      <c r="P958" s="77"/>
    </row>
    <row r="959">
      <c r="P959" s="77"/>
    </row>
    <row r="960">
      <c r="P960" s="77"/>
    </row>
    <row r="961">
      <c r="P961" s="77"/>
    </row>
    <row r="962">
      <c r="P962" s="77"/>
    </row>
    <row r="963">
      <c r="P963" s="77"/>
    </row>
    <row r="964">
      <c r="P964" s="77"/>
    </row>
    <row r="965">
      <c r="P965" s="77"/>
    </row>
    <row r="966">
      <c r="P966" s="77"/>
    </row>
    <row r="967">
      <c r="P967" s="77"/>
    </row>
    <row r="968">
      <c r="P968" s="77"/>
    </row>
    <row r="969">
      <c r="P969" s="77"/>
    </row>
    <row r="970">
      <c r="P970" s="77"/>
    </row>
    <row r="971">
      <c r="P971" s="77"/>
    </row>
    <row r="972">
      <c r="P972" s="77"/>
    </row>
    <row r="973">
      <c r="P973" s="77"/>
    </row>
    <row r="974">
      <c r="P974" s="77"/>
    </row>
    <row r="975">
      <c r="P975" s="77"/>
    </row>
    <row r="976">
      <c r="P976" s="77"/>
    </row>
    <row r="977">
      <c r="P977" s="77"/>
    </row>
    <row r="978">
      <c r="P978" s="77"/>
    </row>
    <row r="979">
      <c r="P979" s="77"/>
    </row>
    <row r="980">
      <c r="P980" s="77"/>
    </row>
    <row r="981">
      <c r="P981" s="77"/>
    </row>
    <row r="982">
      <c r="P982" s="77"/>
    </row>
    <row r="983">
      <c r="P983" s="77"/>
    </row>
    <row r="984">
      <c r="P984" s="77"/>
    </row>
    <row r="985">
      <c r="P985" s="77"/>
    </row>
    <row r="986">
      <c r="P986" s="77"/>
    </row>
    <row r="987">
      <c r="P987" s="77"/>
    </row>
    <row r="988">
      <c r="P988" s="77"/>
    </row>
    <row r="989">
      <c r="P989" s="77"/>
    </row>
    <row r="990">
      <c r="P990" s="77"/>
    </row>
    <row r="991">
      <c r="P991" s="77"/>
    </row>
    <row r="992">
      <c r="P992" s="77"/>
    </row>
    <row r="993">
      <c r="P993" s="77"/>
    </row>
    <row r="994">
      <c r="P994" s="77"/>
    </row>
    <row r="995">
      <c r="P995" s="77"/>
    </row>
    <row r="996">
      <c r="P996" s="77"/>
    </row>
    <row r="997">
      <c r="P997" s="77"/>
    </row>
    <row r="998">
      <c r="P998" s="77"/>
    </row>
    <row r="999">
      <c r="P999" s="7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1.88"/>
  </cols>
  <sheetData>
    <row r="1">
      <c r="C1" s="261">
        <v>44953.0</v>
      </c>
      <c r="D1" s="261">
        <v>44958.0</v>
      </c>
      <c r="E1" s="261">
        <v>44965.0</v>
      </c>
      <c r="F1" s="261"/>
      <c r="G1" s="261">
        <v>44972.0</v>
      </c>
      <c r="H1" s="261"/>
      <c r="I1" s="261">
        <v>44979.0</v>
      </c>
      <c r="J1" s="261"/>
      <c r="K1" s="261">
        <v>44986.0</v>
      </c>
      <c r="L1" s="261"/>
      <c r="M1" s="261">
        <v>44993.0</v>
      </c>
      <c r="N1" s="261"/>
      <c r="O1" s="261">
        <v>45000.0</v>
      </c>
      <c r="P1" s="261"/>
      <c r="Q1" s="261">
        <v>45007.0</v>
      </c>
      <c r="R1" s="261"/>
      <c r="S1" s="261">
        <v>45014.0</v>
      </c>
      <c r="T1" s="261"/>
      <c r="U1" s="261">
        <v>45021.0</v>
      </c>
      <c r="V1" s="261"/>
      <c r="W1" s="261">
        <v>45028.0</v>
      </c>
      <c r="X1" s="261"/>
      <c r="Y1" s="261">
        <v>45035.0</v>
      </c>
      <c r="Z1" s="261"/>
      <c r="AA1" s="261">
        <v>45042.0</v>
      </c>
      <c r="AB1" s="262"/>
      <c r="AC1" s="261"/>
    </row>
    <row r="2">
      <c r="B2" s="133" t="s">
        <v>467</v>
      </c>
      <c r="C2" s="263">
        <f>IFERROR(__xludf.DUMMYFUNCTION("INDEX(GOOGLEFINANCE($B$2,""price"",C$1),2,2)"),34.62)</f>
        <v>34.62</v>
      </c>
      <c r="D2" s="263">
        <f>IFERROR(__xludf.DUMMYFUNCTION("INDEX(GOOGLEFINANCE(B2,""price"",D$1),2,2)"),34.34)</f>
        <v>34.34</v>
      </c>
      <c r="E2" s="263">
        <f>IFERROR(__xludf.DUMMYFUNCTION("INDEX(GOOGLEFINANCE(B2,""price"",E$1),2,2)"),33.23)</f>
        <v>33.23</v>
      </c>
      <c r="F2" s="262">
        <f>E2/$D2-1</f>
        <v>-0.03232382062</v>
      </c>
      <c r="G2" s="263">
        <f>IFERROR(__xludf.DUMMYFUNCTION("INDEX(GOOGLEFINANCE($B2,""price"",G$1),2,2)"),34.75)</f>
        <v>34.75</v>
      </c>
      <c r="H2" s="262">
        <f t="shared" ref="H2:H21" si="1">G2/D2-1</f>
        <v>0.01193942924</v>
      </c>
      <c r="I2" s="263">
        <f>IFERROR(__xludf.DUMMYFUNCTION("INDEX(GOOGLEFINANCE($B2,""price"",I$1),2,2)"),32.72)</f>
        <v>32.72</v>
      </c>
      <c r="J2" s="262">
        <f t="shared" ref="J2:J21" si="2">I2/D2-1</f>
        <v>-0.04717530577</v>
      </c>
      <c r="K2" s="263">
        <f>IFERROR(__xludf.DUMMYFUNCTION("INDEX(GOOGLEFINANCE($B2,""price"",K$1),2,2)"),34.38)</f>
        <v>34.38</v>
      </c>
      <c r="L2" s="262">
        <f t="shared" ref="L2:L21" si="3">K2/D2-1</f>
        <v>0.001164822365</v>
      </c>
      <c r="M2" s="263">
        <f>IFERROR(__xludf.DUMMYFUNCTION("INDEX(GOOGLEFINANCE($B2,""price"",M$1),2,2)"),34.11)</f>
        <v>34.11</v>
      </c>
      <c r="N2" s="262">
        <f t="shared" ref="N2:N21" si="4">M2/D2-1</f>
        <v>-0.006697728596</v>
      </c>
      <c r="O2" s="263">
        <f>IFERROR(__xludf.DUMMYFUNCTION("INDEX(GOOGLEFINANCE($B2,""price"",O$1),2,2)"),29.27)</f>
        <v>29.27</v>
      </c>
      <c r="P2" s="262">
        <f t="shared" ref="P2:P21" si="5">O2/D2-1</f>
        <v>-0.1476412347</v>
      </c>
      <c r="Q2" s="263">
        <f>IFERROR(__xludf.DUMMYFUNCTION("INDEX(GOOGLEFINANCE($B2,""price"",Q$1),2,2)"),30.01)</f>
        <v>30.01</v>
      </c>
      <c r="R2" s="262">
        <f t="shared" ref="R2:R21" si="6">Q2/D2-1</f>
        <v>-0.126092021</v>
      </c>
      <c r="S2" s="263">
        <f>IFERROR(__xludf.DUMMYFUNCTION("INDEX(GOOGLEFINANCE($B2,""price"",S$1),2,2)"),30.67)</f>
        <v>30.67</v>
      </c>
      <c r="T2" s="262">
        <f t="shared" ref="T2:T21" si="7">S2/$D2-1</f>
        <v>-0.106872452</v>
      </c>
      <c r="U2" s="263">
        <f>IFERROR(__xludf.DUMMYFUNCTION("INDEX(GOOGLEFINANCE($B2,""price"",U$1),2,2)"),32.0)</f>
        <v>32</v>
      </c>
      <c r="V2" s="262">
        <f t="shared" ref="V2:V21" si="8">U2/$D2-1</f>
        <v>-0.06814210833</v>
      </c>
      <c r="W2" s="263">
        <f>IFERROR(__xludf.DUMMYFUNCTION("INDEX(GOOGLEFINANCE($B2,""price"",W$1),2,2)"),32.6)</f>
        <v>32.6</v>
      </c>
      <c r="X2" s="262">
        <f t="shared" ref="X2:X21" si="9">W2/$D2-1</f>
        <v>-0.05066977286</v>
      </c>
      <c r="Y2" s="263">
        <f>IFERROR(__xludf.DUMMYFUNCTION("INDEX(GOOGLEFINANCE($B2,""price"",Y$1),2,2)"),30.87)</f>
        <v>30.87</v>
      </c>
      <c r="Z2" s="262">
        <f t="shared" ref="Z2:Z21" si="10">Y2/$D2-1</f>
        <v>-0.1010483401</v>
      </c>
      <c r="AA2" s="263">
        <f>IFERROR(__xludf.DUMMYFUNCTION("INDEX(GOOGLEFINANCE($B2,""price"",AA$1),2,2)"),29.28)</f>
        <v>29.28</v>
      </c>
      <c r="AB2" s="262">
        <f>AA2/$D2-1</f>
        <v>-0.1473500291</v>
      </c>
    </row>
    <row r="3">
      <c r="B3" s="133" t="s">
        <v>19</v>
      </c>
      <c r="C3" s="263">
        <f>IFERROR(__xludf.DUMMYFUNCTION("INDEX(GOOGLEFINANCE(B3,""price"",$C$1),2,2)"),40.25)</f>
        <v>40.25</v>
      </c>
      <c r="D3" s="263">
        <f>IFERROR(__xludf.DUMMYFUNCTION("INDEX(GOOGLEFINANCE(B3,""price"",D$1),2,2)"),40.78)</f>
        <v>40.78</v>
      </c>
      <c r="E3" s="263">
        <f>IFERROR(__xludf.DUMMYFUNCTION("INDEX(GOOGLEFINANCE(B3,""price"",E$1),2,2)"),39.23)</f>
        <v>39.23</v>
      </c>
      <c r="F3" s="262">
        <f t="shared" ref="F3:F21" si="11">E3/D3-1</f>
        <v>-0.03800882786</v>
      </c>
      <c r="G3" s="263">
        <f>IFERROR(__xludf.DUMMYFUNCTION("INDEX(GOOGLEFINANCE($B3,""price"",G$1),2,2)"),41.0)</f>
        <v>41</v>
      </c>
      <c r="H3" s="262">
        <f t="shared" si="1"/>
        <v>0.005394801373</v>
      </c>
      <c r="I3" s="263">
        <f>IFERROR(__xludf.DUMMYFUNCTION("INDEX(GOOGLEFINANCE($B3,""price"",I$1),2,2)"),40.2)</f>
        <v>40.2</v>
      </c>
      <c r="J3" s="262">
        <f t="shared" si="2"/>
        <v>-0.01422265817</v>
      </c>
      <c r="K3" s="263">
        <f>IFERROR(__xludf.DUMMYFUNCTION("INDEX(GOOGLEFINANCE($B3,""price"",K$1),2,2)"),44.06)</f>
        <v>44.06</v>
      </c>
      <c r="L3" s="262">
        <f t="shared" si="3"/>
        <v>0.08043158411</v>
      </c>
      <c r="M3" s="263">
        <f>IFERROR(__xludf.DUMMYFUNCTION("INDEX(GOOGLEFINANCE($B3,""price"",M$1),2,2)"),45.02)</f>
        <v>45.02</v>
      </c>
      <c r="N3" s="262">
        <f t="shared" si="4"/>
        <v>0.1039725356</v>
      </c>
      <c r="O3" s="263">
        <f>IFERROR(__xludf.DUMMYFUNCTION("INDEX(GOOGLEFINANCE($B3,""price"",O$1),2,2)"),39.44)</f>
        <v>39.44</v>
      </c>
      <c r="P3" s="262">
        <f t="shared" si="5"/>
        <v>-0.03285924473</v>
      </c>
      <c r="Q3" s="263">
        <f>IFERROR(__xludf.DUMMYFUNCTION("INDEX(GOOGLEFINANCE($B3,""price"",Q$1),2,2)"),39.25)</f>
        <v>39.25</v>
      </c>
      <c r="R3" s="262">
        <f t="shared" si="6"/>
        <v>-0.03751839137</v>
      </c>
      <c r="S3" s="263">
        <f>IFERROR(__xludf.DUMMYFUNCTION("INDEX(GOOGLEFINANCE($B3,""price"",S$1),2,2)"),40.67)</f>
        <v>40.67</v>
      </c>
      <c r="T3" s="262">
        <f t="shared" si="7"/>
        <v>-0.002697400687</v>
      </c>
      <c r="U3" s="263">
        <f>IFERROR(__xludf.DUMMYFUNCTION("INDEX(GOOGLEFINANCE($B3,""price"",U$1),2,2)"),38.93)</f>
        <v>38.93</v>
      </c>
      <c r="V3" s="262">
        <f t="shared" si="8"/>
        <v>-0.04536537518</v>
      </c>
      <c r="W3" s="263">
        <f>IFERROR(__xludf.DUMMYFUNCTION("INDEX(GOOGLEFINANCE($B3,""price"",W$1),2,2)"),41.84)</f>
        <v>41.84</v>
      </c>
      <c r="X3" s="262">
        <f t="shared" si="9"/>
        <v>0.02599313389</v>
      </c>
      <c r="Y3" s="263">
        <f>IFERROR(__xludf.DUMMYFUNCTION("INDEX(GOOGLEFINANCE($B3,""price"",Y$1),2,2)"),41.79)</f>
        <v>41.79</v>
      </c>
      <c r="Z3" s="262">
        <f t="shared" si="10"/>
        <v>0.02476704267</v>
      </c>
      <c r="AA3" s="263">
        <f>IFERROR(__xludf.DUMMYFUNCTION("INDEX(GOOGLEFINANCE($B3,""price"",AA$1),2,2)"),42.17)</f>
        <v>42.17</v>
      </c>
      <c r="AB3" s="262">
        <f t="shared" ref="AB3:AB21" si="12">AA3/D3-1</f>
        <v>0.03408533595</v>
      </c>
    </row>
    <row r="4">
      <c r="B4" s="133" t="s">
        <v>473</v>
      </c>
      <c r="C4" s="263">
        <f>IFERROR(__xludf.DUMMYFUNCTION("INDEX(GOOGLEFINANCE(B4,""price"",$C$1),2,2)"),14.42)</f>
        <v>14.42</v>
      </c>
      <c r="D4" s="263">
        <f>IFERROR(__xludf.DUMMYFUNCTION("INDEX(GOOGLEFINANCE(B4,""price"",D$1),2,2)"),14.31)</f>
        <v>14.31</v>
      </c>
      <c r="E4" s="263">
        <f>IFERROR(__xludf.DUMMYFUNCTION("INDEX(GOOGLEFINANCE(B4,""price"",E$1),2,2)"),13.43)</f>
        <v>13.43</v>
      </c>
      <c r="F4" s="262">
        <f t="shared" si="11"/>
        <v>-0.06149545772</v>
      </c>
      <c r="G4" s="263">
        <f>IFERROR(__xludf.DUMMYFUNCTION("INDEX(GOOGLEFINANCE($B4,""price"",G$1),2,2)"),12.93)</f>
        <v>12.93</v>
      </c>
      <c r="H4" s="262">
        <f t="shared" si="1"/>
        <v>-0.0964360587</v>
      </c>
      <c r="I4" s="263">
        <f>IFERROR(__xludf.DUMMYFUNCTION("INDEX(GOOGLEFINANCE($B4,""price"",I$1),2,2)"),12.4)</f>
        <v>12.4</v>
      </c>
      <c r="J4" s="262">
        <f t="shared" si="2"/>
        <v>-0.1334730957</v>
      </c>
      <c r="K4" s="263">
        <f>IFERROR(__xludf.DUMMYFUNCTION("INDEX(GOOGLEFINANCE($B4,""price"",K$1),2,2)"),11.62)</f>
        <v>11.62</v>
      </c>
      <c r="L4" s="262">
        <f t="shared" si="3"/>
        <v>-0.1879804333</v>
      </c>
      <c r="M4" s="263">
        <f>IFERROR(__xludf.DUMMYFUNCTION("INDEX(GOOGLEFINANCE($B4,""price"",M$1),2,2)"),11.55)</f>
        <v>11.55</v>
      </c>
      <c r="N4" s="262">
        <f t="shared" si="4"/>
        <v>-0.1928721174</v>
      </c>
      <c r="O4" s="263">
        <f>IFERROR(__xludf.DUMMYFUNCTION("INDEX(GOOGLEFINANCE($B4,""price"",O$1),2,2)"),11.4)</f>
        <v>11.4</v>
      </c>
      <c r="P4" s="262">
        <f t="shared" si="5"/>
        <v>-0.2033542977</v>
      </c>
      <c r="Q4" s="263">
        <f>IFERROR(__xludf.DUMMYFUNCTION("INDEX(GOOGLEFINANCE($B4,""price"",Q$1),2,2)"),11.68)</f>
        <v>11.68</v>
      </c>
      <c r="R4" s="262">
        <f t="shared" si="6"/>
        <v>-0.1837875611</v>
      </c>
      <c r="S4" s="263">
        <f>IFERROR(__xludf.DUMMYFUNCTION("INDEX(GOOGLEFINANCE($B4,""price"",S$1),2,2)"),11.23)</f>
        <v>11.23</v>
      </c>
      <c r="T4" s="262">
        <f t="shared" si="7"/>
        <v>-0.215234102</v>
      </c>
      <c r="U4" s="263">
        <f>IFERROR(__xludf.DUMMYFUNCTION("INDEX(GOOGLEFINANCE($B4,""price"",U$1),2,2)"),11.71)</f>
        <v>11.71</v>
      </c>
      <c r="V4" s="262">
        <f t="shared" si="8"/>
        <v>-0.1816911251</v>
      </c>
      <c r="W4" s="263">
        <f>IFERROR(__xludf.DUMMYFUNCTION("INDEX(GOOGLEFINANCE($B4,""price"",W$1),2,2)"),11.59)</f>
        <v>11.59</v>
      </c>
      <c r="X4" s="262">
        <f t="shared" si="9"/>
        <v>-0.1900768693</v>
      </c>
      <c r="Y4" s="263">
        <f>IFERROR(__xludf.DUMMYFUNCTION("INDEX(GOOGLEFINANCE($B4,""price"",Y$1),2,2)"),11.51)</f>
        <v>11.51</v>
      </c>
      <c r="Z4" s="262">
        <f t="shared" si="10"/>
        <v>-0.1956673655</v>
      </c>
      <c r="AA4" s="263">
        <f>IFERROR(__xludf.DUMMYFUNCTION("INDEX(GOOGLEFINANCE($B4,""price"",AA$1),2,2)"),11.19)</f>
        <v>11.19</v>
      </c>
      <c r="AB4" s="262">
        <f t="shared" si="12"/>
        <v>-0.2180293501</v>
      </c>
    </row>
    <row r="5">
      <c r="B5" s="133" t="s">
        <v>477</v>
      </c>
      <c r="C5" s="263">
        <f>IFERROR(__xludf.DUMMYFUNCTION("INDEX(GOOGLEFINANCE(B5,""price"",$C$1),2,2)"),91.07)</f>
        <v>91.07</v>
      </c>
      <c r="D5" s="263">
        <f>IFERROR(__xludf.DUMMYFUNCTION("INDEX(GOOGLEFINANCE(B5,""price"",D$1),2,2)"),95.16)</f>
        <v>95.16</v>
      </c>
      <c r="E5" s="263">
        <f>IFERROR(__xludf.DUMMYFUNCTION("INDEX(GOOGLEFINANCE(B5,""price"",E$1),2,2)"),93.62)</f>
        <v>93.62</v>
      </c>
      <c r="F5" s="262">
        <f t="shared" si="11"/>
        <v>-0.01618327028</v>
      </c>
      <c r="G5" s="263">
        <f>IFERROR(__xludf.DUMMYFUNCTION("INDEX(GOOGLEFINANCE($B5,""price"",G$1),2,2)"),90.0)</f>
        <v>90</v>
      </c>
      <c r="H5" s="262">
        <f t="shared" si="1"/>
        <v>-0.05422446406</v>
      </c>
      <c r="I5" s="263">
        <f>IFERROR(__xludf.DUMMYFUNCTION("INDEX(GOOGLEFINANCE($B5,""price"",I$1),2,2)"),92.35)</f>
        <v>92.35</v>
      </c>
      <c r="J5" s="262">
        <f t="shared" si="2"/>
        <v>-0.02952921396</v>
      </c>
      <c r="K5" s="263">
        <f>IFERROR(__xludf.DUMMYFUNCTION("INDEX(GOOGLEFINANCE($B5,""price"",K$1),2,2)"),89.68)</f>
        <v>89.68</v>
      </c>
      <c r="L5" s="262">
        <f t="shared" si="3"/>
        <v>-0.05758722152</v>
      </c>
      <c r="M5" s="263">
        <f>IFERROR(__xludf.DUMMYFUNCTION("INDEX(GOOGLEFINANCE($B5,""price"",M$1),2,2)"),89.45)</f>
        <v>89.45</v>
      </c>
      <c r="N5" s="262">
        <f t="shared" si="4"/>
        <v>-0.06000420345</v>
      </c>
      <c r="O5" s="263">
        <f>IFERROR(__xludf.DUMMYFUNCTION("INDEX(GOOGLEFINANCE($B5,""price"",O$1),2,2)"),86.51)</f>
        <v>86.51</v>
      </c>
      <c r="P5" s="262">
        <f t="shared" si="5"/>
        <v>-0.09089953762</v>
      </c>
      <c r="Q5" s="263">
        <f>IFERROR(__xludf.DUMMYFUNCTION("INDEX(GOOGLEFINANCE($B5,""price"",Q$1),2,2)"),86.75)</f>
        <v>86.75</v>
      </c>
      <c r="R5" s="262">
        <f t="shared" si="6"/>
        <v>-0.08837746953</v>
      </c>
      <c r="S5" s="263">
        <f>IFERROR(__xludf.DUMMYFUNCTION("INDEX(GOOGLEFINANCE($B5,""price"",S$1),2,2)"),89.64)</f>
        <v>89.64</v>
      </c>
      <c r="T5" s="262">
        <f t="shared" si="7"/>
        <v>-0.0580075662</v>
      </c>
      <c r="U5" s="263">
        <f>IFERROR(__xludf.DUMMYFUNCTION("INDEX(GOOGLEFINANCE($B5,""price"",U$1),2,2)"),89.27)</f>
        <v>89.27</v>
      </c>
      <c r="V5" s="262">
        <f t="shared" si="8"/>
        <v>-0.06189575452</v>
      </c>
      <c r="W5" s="263">
        <f>IFERROR(__xludf.DUMMYFUNCTION("INDEX(GOOGLEFINANCE($B5,""price"",W$1),2,2)"),89.14)</f>
        <v>89.14</v>
      </c>
      <c r="X5" s="262">
        <f t="shared" si="9"/>
        <v>-0.06326187474</v>
      </c>
      <c r="Y5" s="263">
        <f>IFERROR(__xludf.DUMMYFUNCTION("INDEX(GOOGLEFINANCE($B5,""price"",Y$1),2,2)"),88.32)</f>
        <v>88.32</v>
      </c>
      <c r="Z5" s="262">
        <f t="shared" si="10"/>
        <v>-0.07187894073</v>
      </c>
      <c r="AA5" s="263">
        <f>IFERROR(__xludf.DUMMYFUNCTION("INDEX(GOOGLEFINANCE($B5,""price"",AA$1),2,2)"),89.65)</f>
        <v>89.65</v>
      </c>
      <c r="AB5" s="262">
        <f t="shared" si="12"/>
        <v>-0.05790248003</v>
      </c>
    </row>
    <row r="6">
      <c r="B6" s="133" t="s">
        <v>481</v>
      </c>
      <c r="C6" s="263">
        <f>IFERROR(__xludf.DUMMYFUNCTION("INDEX(GOOGLEFINANCE(B6,""price"",$C$1),2,2)"),11.91)</f>
        <v>11.91</v>
      </c>
      <c r="D6" s="263">
        <f>IFERROR(__xludf.DUMMYFUNCTION("INDEX(GOOGLEFINANCE(B6,""price"",D$1),2,2)"),11.53)</f>
        <v>11.53</v>
      </c>
      <c r="E6" s="263">
        <f>IFERROR(__xludf.DUMMYFUNCTION("INDEX(GOOGLEFINANCE(B6,""price"",E$1),2,2)"),11.62)</f>
        <v>11.62</v>
      </c>
      <c r="F6" s="262">
        <f t="shared" si="11"/>
        <v>0.007805724198</v>
      </c>
      <c r="G6" s="263">
        <f>IFERROR(__xludf.DUMMYFUNCTION("INDEX(GOOGLEFINANCE($B6,""price"",G$1),2,2)"),11.47)</f>
        <v>11.47</v>
      </c>
      <c r="H6" s="262">
        <f t="shared" si="1"/>
        <v>-0.005203816132</v>
      </c>
      <c r="I6" s="263">
        <f>IFERROR(__xludf.DUMMYFUNCTION("INDEX(GOOGLEFINANCE($B6,""price"",I$1),2,2)"),12.31)</f>
        <v>12.31</v>
      </c>
      <c r="J6" s="262">
        <f t="shared" si="2"/>
        <v>0.06764960971</v>
      </c>
      <c r="K6" s="263">
        <f>IFERROR(__xludf.DUMMYFUNCTION("INDEX(GOOGLEFINANCE($B6,""price"",K$1),2,2)"),12.73)</f>
        <v>12.73</v>
      </c>
      <c r="L6" s="262">
        <f t="shared" si="3"/>
        <v>0.1040763226</v>
      </c>
      <c r="M6" s="263">
        <f>IFERROR(__xludf.DUMMYFUNCTION("INDEX(GOOGLEFINANCE($B6,""price"",M$1),2,2)"),13.68)</f>
        <v>13.68</v>
      </c>
      <c r="N6" s="262">
        <f t="shared" si="4"/>
        <v>0.1864700781</v>
      </c>
      <c r="O6" s="263">
        <f>IFERROR(__xludf.DUMMYFUNCTION("INDEX(GOOGLEFINANCE($B6,""price"",O$1),2,2)"),12.01)</f>
        <v>12.01</v>
      </c>
      <c r="P6" s="262">
        <f t="shared" si="5"/>
        <v>0.04163052905</v>
      </c>
      <c r="Q6" s="263">
        <f>IFERROR(__xludf.DUMMYFUNCTION("INDEX(GOOGLEFINANCE($B6,""price"",Q$1),2,2)"),11.74)</f>
        <v>11.74</v>
      </c>
      <c r="R6" s="262">
        <f t="shared" si="6"/>
        <v>0.01821335646</v>
      </c>
      <c r="S6" s="263">
        <f>IFERROR(__xludf.DUMMYFUNCTION("INDEX(GOOGLEFINANCE($B6,""price"",S$1),2,2)"),11.17)</f>
        <v>11.17</v>
      </c>
      <c r="T6" s="262">
        <f t="shared" si="7"/>
        <v>-0.03122289679</v>
      </c>
      <c r="U6" s="263">
        <f>IFERROR(__xludf.DUMMYFUNCTION("INDEX(GOOGLEFINANCE($B6,""price"",U$1),2,2)"),11.0)</f>
        <v>11</v>
      </c>
      <c r="V6" s="262">
        <f t="shared" si="8"/>
        <v>-0.0459670425</v>
      </c>
      <c r="W6" s="263">
        <f>IFERROR(__xludf.DUMMYFUNCTION("INDEX(GOOGLEFINANCE($B6,""price"",W$1),2,2)"),11.54)</f>
        <v>11.54</v>
      </c>
      <c r="X6" s="262">
        <f t="shared" si="9"/>
        <v>0.0008673026886</v>
      </c>
      <c r="Y6" s="263">
        <f>IFERROR(__xludf.DUMMYFUNCTION("INDEX(GOOGLEFINANCE($B6,""price"",Y$1),2,2)"),10.71)</f>
        <v>10.71</v>
      </c>
      <c r="Z6" s="262">
        <f t="shared" si="10"/>
        <v>-0.07111882047</v>
      </c>
      <c r="AA6" s="263">
        <f>IFERROR(__xludf.DUMMYFUNCTION("INDEX(GOOGLEFINANCE($B6,""price"",AA$1),2,2)"),10.86)</f>
        <v>10.86</v>
      </c>
      <c r="AB6" s="262">
        <f t="shared" si="12"/>
        <v>-0.05810928014</v>
      </c>
    </row>
    <row r="7">
      <c r="B7" s="133" t="s">
        <v>484</v>
      </c>
      <c r="C7" s="263">
        <f>IFERROR(__xludf.DUMMYFUNCTION("INDEX(GOOGLEFINANCE(B7,""price"",$C$1),2,2)"),30.85)</f>
        <v>30.85</v>
      </c>
      <c r="D7" s="263">
        <f>IFERROR(__xludf.DUMMYFUNCTION("INDEX(GOOGLEFINANCE(B7,""price"",D$1),2,2)"),32.38)</f>
        <v>32.38</v>
      </c>
      <c r="E7" s="263">
        <f>IFERROR(__xludf.DUMMYFUNCTION("INDEX(GOOGLEFINANCE(B7,""price"",E$1),2,2)"),31.69)</f>
        <v>31.69</v>
      </c>
      <c r="F7" s="262">
        <f t="shared" si="11"/>
        <v>-0.02130945028</v>
      </c>
      <c r="G7" s="263">
        <f>IFERROR(__xludf.DUMMYFUNCTION("INDEX(GOOGLEFINANCE($B7,""price"",G$1),2,2)"),30.67)</f>
        <v>30.67</v>
      </c>
      <c r="H7" s="262">
        <f t="shared" si="1"/>
        <v>-0.05281037678</v>
      </c>
      <c r="I7" s="263">
        <f>IFERROR(__xludf.DUMMYFUNCTION("INDEX(GOOGLEFINANCE($B7,""price"",I$1),2,2)"),28.16)</f>
        <v>28.16</v>
      </c>
      <c r="J7" s="262">
        <f t="shared" si="2"/>
        <v>-0.1303273626</v>
      </c>
      <c r="K7" s="263">
        <f>IFERROR(__xludf.DUMMYFUNCTION("INDEX(GOOGLEFINANCE($B7,""price"",K$1),2,2)"),27.7)</f>
        <v>27.7</v>
      </c>
      <c r="L7" s="262">
        <f t="shared" si="3"/>
        <v>-0.1445336628</v>
      </c>
      <c r="M7" s="263">
        <f>IFERROR(__xludf.DUMMYFUNCTION("INDEX(GOOGLEFINANCE($B7,""price"",M$1),2,2)"),28.63)</f>
        <v>28.63</v>
      </c>
      <c r="N7" s="262">
        <f t="shared" si="4"/>
        <v>-0.1158122298</v>
      </c>
      <c r="O7" s="263">
        <f>IFERROR(__xludf.DUMMYFUNCTION("INDEX(GOOGLEFINANCE($B7,""price"",O$1),2,2)"),28.75)</f>
        <v>28.75</v>
      </c>
      <c r="P7" s="262">
        <f t="shared" si="5"/>
        <v>-0.1121062384</v>
      </c>
      <c r="Q7" s="263">
        <f>IFERROR(__xludf.DUMMYFUNCTION("INDEX(GOOGLEFINANCE($B7,""price"",Q$1),2,2)"),28.64)</f>
        <v>28.64</v>
      </c>
      <c r="R7" s="262">
        <f t="shared" si="6"/>
        <v>-0.1155033972</v>
      </c>
      <c r="S7" s="263">
        <f>IFERROR(__xludf.DUMMYFUNCTION("INDEX(GOOGLEFINANCE($B7,""price"",S$1),2,2)"),29.05)</f>
        <v>29.05</v>
      </c>
      <c r="T7" s="262">
        <f t="shared" si="7"/>
        <v>-0.10284126</v>
      </c>
      <c r="U7" s="263">
        <f>IFERROR(__xludf.DUMMYFUNCTION("INDEX(GOOGLEFINANCE($B7,""price"",U$1),2,2)"),31.84)</f>
        <v>31.84</v>
      </c>
      <c r="V7" s="262">
        <f t="shared" si="8"/>
        <v>-0.01667696109</v>
      </c>
      <c r="W7" s="263">
        <f>IFERROR(__xludf.DUMMYFUNCTION("INDEX(GOOGLEFINANCE($B7,""price"",W$1),2,2)"),27.51)</f>
        <v>27.51</v>
      </c>
      <c r="X7" s="262">
        <f t="shared" si="9"/>
        <v>-0.1504014824</v>
      </c>
      <c r="Y7" s="263">
        <f>IFERROR(__xludf.DUMMYFUNCTION("INDEX(GOOGLEFINANCE($B7,""price"",Y$1),2,2)"),26.86)</f>
        <v>26.86</v>
      </c>
      <c r="Z7" s="262">
        <f t="shared" si="10"/>
        <v>-0.1704756022</v>
      </c>
      <c r="AA7" s="263">
        <f>IFERROR(__xludf.DUMMYFUNCTION("INDEX(GOOGLEFINANCE($B7,""price"",AA$1),2,2)"),26.14)</f>
        <v>26.14</v>
      </c>
      <c r="AB7" s="262">
        <f t="shared" si="12"/>
        <v>-0.1927115503</v>
      </c>
    </row>
    <row r="8">
      <c r="B8" s="133" t="s">
        <v>47</v>
      </c>
      <c r="C8" s="263">
        <f>IFERROR(__xludf.DUMMYFUNCTION("INDEX(GOOGLEFINANCE(B8,""price"",$C$1),2,2)"),2.89)</f>
        <v>2.89</v>
      </c>
      <c r="D8" s="263">
        <f>IFERROR(__xludf.DUMMYFUNCTION("INDEX(GOOGLEFINANCE(B8,""price"",D$1),2,2)"),3.15)</f>
        <v>3.15</v>
      </c>
      <c r="E8" s="263">
        <f>IFERROR(__xludf.DUMMYFUNCTION("INDEX(GOOGLEFINANCE(B8,""price"",E$1),2,2)"),2.84)</f>
        <v>2.84</v>
      </c>
      <c r="F8" s="262">
        <f t="shared" si="11"/>
        <v>-0.09841269841</v>
      </c>
      <c r="G8" s="263">
        <f>IFERROR(__xludf.DUMMYFUNCTION("INDEX(GOOGLEFINANCE($B8,""price"",G$1),2,2)"),2.89)</f>
        <v>2.89</v>
      </c>
      <c r="H8" s="262">
        <f t="shared" si="1"/>
        <v>-0.08253968254</v>
      </c>
      <c r="I8" s="263">
        <f>IFERROR(__xludf.DUMMYFUNCTION("INDEX(GOOGLEFINANCE($B8,""price"",I$1),2,2)"),3.03)</f>
        <v>3.03</v>
      </c>
      <c r="J8" s="262">
        <f t="shared" si="2"/>
        <v>-0.0380952381</v>
      </c>
      <c r="K8" s="263">
        <f>IFERROR(__xludf.DUMMYFUNCTION("INDEX(GOOGLEFINANCE($B8,""price"",K$1),2,2)"),2.87)</f>
        <v>2.87</v>
      </c>
      <c r="L8" s="262">
        <f t="shared" si="3"/>
        <v>-0.08888888889</v>
      </c>
      <c r="M8" s="263">
        <f>IFERROR(__xludf.DUMMYFUNCTION("INDEX(GOOGLEFINANCE($B8,""price"",M$1),2,2)"),2.93)</f>
        <v>2.93</v>
      </c>
      <c r="N8" s="262">
        <f t="shared" si="4"/>
        <v>-0.06984126984</v>
      </c>
      <c r="O8" s="263">
        <f>IFERROR(__xludf.DUMMYFUNCTION("INDEX(GOOGLEFINANCE($B8,""price"",O$1),2,2)"),2.91)</f>
        <v>2.91</v>
      </c>
      <c r="P8" s="262">
        <f t="shared" si="5"/>
        <v>-0.07619047619</v>
      </c>
      <c r="Q8" s="263">
        <f>IFERROR(__xludf.DUMMYFUNCTION("INDEX(GOOGLEFINANCE($B8,""price"",Q$1),2,2)"),1.63)</f>
        <v>1.63</v>
      </c>
      <c r="R8" s="262">
        <f t="shared" si="6"/>
        <v>-0.4825396825</v>
      </c>
      <c r="S8" s="263">
        <f>IFERROR(__xludf.DUMMYFUNCTION("INDEX(GOOGLEFINANCE($B8,""price"",S$1),2,2)"),1.46)</f>
        <v>1.46</v>
      </c>
      <c r="T8" s="262">
        <f t="shared" si="7"/>
        <v>-0.5365079365</v>
      </c>
      <c r="U8" s="263">
        <f>IFERROR(__xludf.DUMMYFUNCTION("INDEX(GOOGLEFINANCE($B8,""price"",U$1),2,2)"),1.44)</f>
        <v>1.44</v>
      </c>
      <c r="V8" s="262">
        <f t="shared" si="8"/>
        <v>-0.5428571429</v>
      </c>
      <c r="W8" s="263">
        <f>IFERROR(__xludf.DUMMYFUNCTION("INDEX(GOOGLEFINANCE($B8,""price"",W$1),2,2)"),1.6)</f>
        <v>1.6</v>
      </c>
      <c r="X8" s="262">
        <f t="shared" si="9"/>
        <v>-0.4920634921</v>
      </c>
      <c r="Y8" s="263">
        <f>IFERROR(__xludf.DUMMYFUNCTION("INDEX(GOOGLEFINANCE($B8,""price"",Y$1),2,2)"),1.49)</f>
        <v>1.49</v>
      </c>
      <c r="Z8" s="262">
        <f t="shared" si="10"/>
        <v>-0.526984127</v>
      </c>
      <c r="AA8" s="263">
        <f>IFERROR(__xludf.DUMMYFUNCTION("INDEX(GOOGLEFINANCE($B8,""price"",AA$1),2,2)"),1.35)</f>
        <v>1.35</v>
      </c>
      <c r="AB8" s="262">
        <f t="shared" si="12"/>
        <v>-0.5714285714</v>
      </c>
    </row>
    <row r="9">
      <c r="B9" s="133" t="s">
        <v>29</v>
      </c>
      <c r="C9" s="263">
        <f>IFERROR(__xludf.DUMMYFUNCTION("INDEX(GOOGLEFINANCE(B9,""price"",$C$1),2,2)"),41.56)</f>
        <v>41.56</v>
      </c>
      <c r="D9" s="263">
        <f>IFERROR(__xludf.DUMMYFUNCTION("INDEX(GOOGLEFINANCE(B9,""price"",D$1),2,2)"),43.3)</f>
        <v>43.3</v>
      </c>
      <c r="E9" s="263">
        <f>IFERROR(__xludf.DUMMYFUNCTION("INDEX(GOOGLEFINANCE(B9,""price"",E$1),2,2)"),42.6)</f>
        <v>42.6</v>
      </c>
      <c r="F9" s="262">
        <f t="shared" si="11"/>
        <v>-0.01616628176</v>
      </c>
      <c r="G9" s="263">
        <f>IFERROR(__xludf.DUMMYFUNCTION("INDEX(GOOGLEFINANCE($B9,""price"",G$1),2,2)"),42.42)</f>
        <v>42.42</v>
      </c>
      <c r="H9" s="262">
        <f t="shared" si="1"/>
        <v>-0.02032332564</v>
      </c>
      <c r="I9" s="263">
        <f>IFERROR(__xludf.DUMMYFUNCTION("INDEX(GOOGLEFINANCE($B9,""price"",I$1),2,2)"),42.05)</f>
        <v>42.05</v>
      </c>
      <c r="J9" s="262">
        <f t="shared" si="2"/>
        <v>-0.02886836028</v>
      </c>
      <c r="K9" s="263">
        <f>IFERROR(__xludf.DUMMYFUNCTION("INDEX(GOOGLEFINANCE($B9,""price"",K$1),2,2)"),45.57)</f>
        <v>45.57</v>
      </c>
      <c r="L9" s="262">
        <f t="shared" si="3"/>
        <v>0.05242494226</v>
      </c>
      <c r="M9" s="263">
        <f>IFERROR(__xludf.DUMMYFUNCTION("INDEX(GOOGLEFINANCE($B9,""price"",M$1),2,2)"),44.0)</f>
        <v>44</v>
      </c>
      <c r="N9" s="262">
        <f t="shared" si="4"/>
        <v>0.01616628176</v>
      </c>
      <c r="O9" s="263">
        <f>IFERROR(__xludf.DUMMYFUNCTION("INDEX(GOOGLEFINANCE($B9,""price"",O$1),2,2)"),37.86)</f>
        <v>37.86</v>
      </c>
      <c r="P9" s="262">
        <f t="shared" si="5"/>
        <v>-0.1256351039</v>
      </c>
      <c r="Q9" s="263">
        <f>IFERROR(__xludf.DUMMYFUNCTION("INDEX(GOOGLEFINANCE($B9,""price"",Q$1),2,2)"),38.01)</f>
        <v>38.01</v>
      </c>
      <c r="R9" s="262">
        <f t="shared" si="6"/>
        <v>-0.1221709007</v>
      </c>
      <c r="S9" s="263">
        <f>IFERROR(__xludf.DUMMYFUNCTION("INDEX(GOOGLEFINANCE($B9,""price"",S$1),2,2)"),39.31)</f>
        <v>39.31</v>
      </c>
      <c r="T9" s="262">
        <f t="shared" si="7"/>
        <v>-0.092147806</v>
      </c>
      <c r="U9" s="263">
        <f>IFERROR(__xludf.DUMMYFUNCTION("INDEX(GOOGLEFINANCE($B9,""price"",U$1),2,2)"),39.26)</f>
        <v>39.26</v>
      </c>
      <c r="V9" s="262">
        <f t="shared" si="8"/>
        <v>-0.09330254042</v>
      </c>
      <c r="W9" s="263">
        <f>IFERROR(__xludf.DUMMYFUNCTION("INDEX(GOOGLEFINANCE($B9,""price"",W$1),2,2)"),39.86)</f>
        <v>39.86</v>
      </c>
      <c r="X9" s="262">
        <f t="shared" si="9"/>
        <v>-0.07944572748</v>
      </c>
      <c r="Y9" s="263">
        <f>IFERROR(__xludf.DUMMYFUNCTION("INDEX(GOOGLEFINANCE($B9,""price"",Y$1),2,2)"),41.43)</f>
        <v>41.43</v>
      </c>
      <c r="Z9" s="262">
        <f t="shared" si="10"/>
        <v>-0.04318706697</v>
      </c>
      <c r="AA9" s="263">
        <f>IFERROR(__xludf.DUMMYFUNCTION("INDEX(GOOGLEFINANCE($B9,""price"",AA$1),2,2)"),40.29)</f>
        <v>40.29</v>
      </c>
      <c r="AB9" s="262">
        <f t="shared" si="12"/>
        <v>-0.06951501155</v>
      </c>
    </row>
    <row r="10">
      <c r="B10" s="133" t="s">
        <v>23</v>
      </c>
      <c r="C10" s="263">
        <f>IFERROR(__xludf.DUMMYFUNCTION("INDEX(GOOGLEFINANCE(B10,""price"",$C$1),2,2)"),25.33)</f>
        <v>25.33</v>
      </c>
      <c r="D10" s="263">
        <f>IFERROR(__xludf.DUMMYFUNCTION("INDEX(GOOGLEFINANCE(B10,""price"",D$1),2,2)"),24.54)</f>
        <v>24.54</v>
      </c>
      <c r="E10" s="263">
        <f>IFERROR(__xludf.DUMMYFUNCTION("INDEX(GOOGLEFINANCE(B10,""price"",E$1),2,2)"),24.15)</f>
        <v>24.15</v>
      </c>
      <c r="F10" s="262">
        <f t="shared" si="11"/>
        <v>-0.01589242054</v>
      </c>
      <c r="G10" s="263">
        <f>IFERROR(__xludf.DUMMYFUNCTION("INDEX(GOOGLEFINANCE($B10,""price"",G$1),2,2)"),24.92)</f>
        <v>24.92</v>
      </c>
      <c r="H10" s="262">
        <f t="shared" si="1"/>
        <v>0.01548492258</v>
      </c>
      <c r="I10" s="263">
        <f>IFERROR(__xludf.DUMMYFUNCTION("INDEX(GOOGLEFINANCE($B10,""price"",I$1),2,2)"),23.26)</f>
        <v>23.26</v>
      </c>
      <c r="J10" s="262">
        <f t="shared" si="2"/>
        <v>-0.0521597392</v>
      </c>
      <c r="K10" s="263">
        <f>IFERROR(__xludf.DUMMYFUNCTION("INDEX(GOOGLEFINANCE($B10,""price"",K$1),2,2)"),25.24)</f>
        <v>25.24</v>
      </c>
      <c r="L10" s="262">
        <f t="shared" si="3"/>
        <v>0.02852485738</v>
      </c>
      <c r="M10" s="263">
        <f>IFERROR(__xludf.DUMMYFUNCTION("INDEX(GOOGLEFINANCE($B10,""price"",M$1),2,2)"),25.15)</f>
        <v>25.15</v>
      </c>
      <c r="N10" s="262">
        <f t="shared" si="4"/>
        <v>0.02485737571</v>
      </c>
      <c r="O10" s="263">
        <f>IFERROR(__xludf.DUMMYFUNCTION("INDEX(GOOGLEFINANCE($B10,""price"",O$1),2,2)"),22.78)</f>
        <v>22.78</v>
      </c>
      <c r="P10" s="262">
        <f t="shared" si="5"/>
        <v>-0.0717196414</v>
      </c>
      <c r="Q10" s="263">
        <f>IFERROR(__xludf.DUMMYFUNCTION("INDEX(GOOGLEFINANCE($B10,""price"",Q$1),2,2)"),23.5)</f>
        <v>23.5</v>
      </c>
      <c r="R10" s="262">
        <f t="shared" si="6"/>
        <v>-0.0423797881</v>
      </c>
      <c r="S10" s="263">
        <f>IFERROR(__xludf.DUMMYFUNCTION("INDEX(GOOGLEFINANCE($B10,""price"",S$1),2,2)"),24.11)</f>
        <v>24.11</v>
      </c>
      <c r="T10" s="262">
        <f t="shared" si="7"/>
        <v>-0.01752241239</v>
      </c>
      <c r="U10" s="263">
        <f>IFERROR(__xludf.DUMMYFUNCTION("INDEX(GOOGLEFINANCE($B10,""price"",U$1),2,2)"),25.41)</f>
        <v>25.41</v>
      </c>
      <c r="V10" s="262">
        <f t="shared" si="8"/>
        <v>0.03545232274</v>
      </c>
      <c r="W10" s="263">
        <f>IFERROR(__xludf.DUMMYFUNCTION("INDEX(GOOGLEFINANCE($B10,""price"",W$1),2,2)"),25.76)</f>
        <v>25.76</v>
      </c>
      <c r="X10" s="262">
        <f t="shared" si="9"/>
        <v>0.04971475143</v>
      </c>
      <c r="Y10" s="263">
        <f>IFERROR(__xludf.DUMMYFUNCTION("INDEX(GOOGLEFINANCE($B10,""price"",Y$1),2,2)"),25.7)</f>
        <v>25.7</v>
      </c>
      <c r="Z10" s="262">
        <f t="shared" si="10"/>
        <v>0.04726976365</v>
      </c>
      <c r="AA10" s="263">
        <f>IFERROR(__xludf.DUMMYFUNCTION("INDEX(GOOGLEFINANCE($B10,""price"",AA$1),2,2)"),24.69)</f>
        <v>24.69</v>
      </c>
      <c r="AB10" s="262">
        <f t="shared" si="12"/>
        <v>0.006112469438</v>
      </c>
    </row>
    <row r="11">
      <c r="B11" s="133" t="s">
        <v>320</v>
      </c>
      <c r="C11" s="263">
        <f>IFERROR(__xludf.DUMMYFUNCTION("INDEX(GOOGLEFINANCE(B11,""price"",$C$1),2,2)"),168.23)</f>
        <v>168.23</v>
      </c>
      <c r="D11" s="263">
        <f>IFERROR(__xludf.DUMMYFUNCTION("INDEX(GOOGLEFINANCE(B11,""price"",D$1),2,2)"),164.92)</f>
        <v>164.92</v>
      </c>
      <c r="E11" s="263">
        <f>IFERROR(__xludf.DUMMYFUNCTION("INDEX(GOOGLEFINANCE(B11,""price"",E$1),2,2)"),163.61)</f>
        <v>163.61</v>
      </c>
      <c r="F11" s="262">
        <f t="shared" si="11"/>
        <v>-0.00794324521</v>
      </c>
      <c r="G11" s="263">
        <f>IFERROR(__xludf.DUMMYFUNCTION("INDEX(GOOGLEFINANCE($B11,""price"",G$1),2,2)"),159.37)</f>
        <v>159.37</v>
      </c>
      <c r="H11" s="262">
        <f t="shared" si="1"/>
        <v>-0.03365268009</v>
      </c>
      <c r="I11" s="263">
        <f>IFERROR(__xludf.DUMMYFUNCTION("INDEX(GOOGLEFINANCE($B11,""price"",I$1),2,2)"),157.78)</f>
        <v>157.78</v>
      </c>
      <c r="J11" s="262">
        <f t="shared" si="2"/>
        <v>-0.04329371817</v>
      </c>
      <c r="K11" s="263">
        <f>IFERROR(__xludf.DUMMYFUNCTION("INDEX(GOOGLEFINANCE($B11,""price"",K$1),2,2)"),152.57)</f>
        <v>152.57</v>
      </c>
      <c r="L11" s="262">
        <f t="shared" si="3"/>
        <v>-0.07488479263</v>
      </c>
      <c r="M11" s="263">
        <f>IFERROR(__xludf.DUMMYFUNCTION("INDEX(GOOGLEFINANCE($B11,""price"",M$1),2,2)"),152.96)</f>
        <v>152.96</v>
      </c>
      <c r="N11" s="262">
        <f t="shared" si="4"/>
        <v>-0.0725200097</v>
      </c>
      <c r="O11" s="263">
        <f>IFERROR(__xludf.DUMMYFUNCTION("INDEX(GOOGLEFINANCE($B11,""price"",O$1),2,2)"),154.35)</f>
        <v>154.35</v>
      </c>
      <c r="P11" s="262">
        <f t="shared" si="5"/>
        <v>-0.06409168081</v>
      </c>
      <c r="Q11" s="263">
        <f>IFERROR(__xludf.DUMMYFUNCTION("INDEX(GOOGLEFINANCE($B11,""price"",Q$1),2,2)"),151.05)</f>
        <v>151.05</v>
      </c>
      <c r="R11" s="262">
        <f t="shared" si="6"/>
        <v>-0.08410138249</v>
      </c>
      <c r="S11" s="263">
        <f>IFERROR(__xludf.DUMMYFUNCTION("INDEX(GOOGLEFINANCE($B11,""price"",S$1),2,2)"),153.31)</f>
        <v>153.31</v>
      </c>
      <c r="T11" s="262">
        <f t="shared" si="7"/>
        <v>-0.07039776862</v>
      </c>
      <c r="U11" s="263">
        <f>IFERROR(__xludf.DUMMYFUNCTION("INDEX(GOOGLEFINANCE($B11,""price"",U$1),2,2)"),165.61)</f>
        <v>165.61</v>
      </c>
      <c r="V11" s="262">
        <f t="shared" si="8"/>
        <v>0.004183846714</v>
      </c>
      <c r="W11" s="263">
        <f>IFERROR(__xludf.DUMMYFUNCTION("INDEX(GOOGLEFINANCE($B11,""price"",W$1),2,2)"),163.92)</f>
        <v>163.92</v>
      </c>
      <c r="X11" s="262">
        <f t="shared" si="9"/>
        <v>-0.006063545962</v>
      </c>
      <c r="Y11" s="263">
        <f>IFERROR(__xludf.DUMMYFUNCTION("INDEX(GOOGLEFINANCE($B11,""price"",Y$1),2,2)"),162.53)</f>
        <v>162.53</v>
      </c>
      <c r="Z11" s="262">
        <f t="shared" si="10"/>
        <v>-0.01449187485</v>
      </c>
      <c r="AA11" s="263">
        <f>IFERROR(__xludf.DUMMYFUNCTION("INDEX(GOOGLEFINANCE($B11,""price"",AA$1),2,2)"),162.62)</f>
        <v>162.62</v>
      </c>
      <c r="AB11" s="262">
        <f t="shared" si="12"/>
        <v>-0.01394615571</v>
      </c>
    </row>
    <row r="12">
      <c r="B12" s="133" t="s">
        <v>492</v>
      </c>
      <c r="C12" s="263">
        <f>IFERROR(__xludf.DUMMYFUNCTION("INDEX(GOOGLEFINANCE(B12,""price"",$C$1),2,2)"),7.96)</f>
        <v>7.96</v>
      </c>
      <c r="D12" s="263">
        <f>IFERROR(__xludf.DUMMYFUNCTION("INDEX(GOOGLEFINANCE(B12,""price"",D$1),2,2)"),8.36)</f>
        <v>8.36</v>
      </c>
      <c r="E12" s="263">
        <f>IFERROR(__xludf.DUMMYFUNCTION("INDEX(GOOGLEFINANCE(B12,""price"",E$1),2,2)"),8.16)</f>
        <v>8.16</v>
      </c>
      <c r="F12" s="262">
        <f t="shared" si="11"/>
        <v>-0.02392344498</v>
      </c>
      <c r="G12" s="263">
        <f>IFERROR(__xludf.DUMMYFUNCTION("INDEX(GOOGLEFINANCE($B12,""price"",G$1),2,2)"),8.27)</f>
        <v>8.27</v>
      </c>
      <c r="H12" s="262">
        <f t="shared" si="1"/>
        <v>-0.01076555024</v>
      </c>
      <c r="I12" s="263">
        <f>IFERROR(__xludf.DUMMYFUNCTION("INDEX(GOOGLEFINANCE($B12,""price"",I$1),2,2)"),7.57)</f>
        <v>7.57</v>
      </c>
      <c r="J12" s="262">
        <f t="shared" si="2"/>
        <v>-0.09449760766</v>
      </c>
      <c r="K12" s="263">
        <f>IFERROR(__xludf.DUMMYFUNCTION("INDEX(GOOGLEFINANCE($B12,""price"",K$1),2,2)"),8.2)</f>
        <v>8.2</v>
      </c>
      <c r="L12" s="262">
        <f t="shared" si="3"/>
        <v>-0.01913875598</v>
      </c>
      <c r="M12" s="263">
        <f>IFERROR(__xludf.DUMMYFUNCTION("INDEX(GOOGLEFINANCE($B12,""price"",M$1),2,2)"),8.4)</f>
        <v>8.4</v>
      </c>
      <c r="N12" s="262">
        <f t="shared" si="4"/>
        <v>0.004784688995</v>
      </c>
      <c r="O12" s="263">
        <f>IFERROR(__xludf.DUMMYFUNCTION("INDEX(GOOGLEFINANCE($B12,""price"",O$1),2,2)"),7.64)</f>
        <v>7.64</v>
      </c>
      <c r="P12" s="262">
        <f t="shared" si="5"/>
        <v>-0.08612440191</v>
      </c>
      <c r="Q12" s="263">
        <f>IFERROR(__xludf.DUMMYFUNCTION("INDEX(GOOGLEFINANCE($B12,""price"",Q$1),2,2)"),7.59)</f>
        <v>7.59</v>
      </c>
      <c r="R12" s="262">
        <f t="shared" si="6"/>
        <v>-0.09210526316</v>
      </c>
      <c r="S12" s="263">
        <f>IFERROR(__xludf.DUMMYFUNCTION("INDEX(GOOGLEFINANCE($B12,""price"",S$1),2,2)"),7.71)</f>
        <v>7.71</v>
      </c>
      <c r="T12" s="262">
        <f t="shared" si="7"/>
        <v>-0.07775119617</v>
      </c>
      <c r="U12" s="263">
        <f>IFERROR(__xludf.DUMMYFUNCTION("INDEX(GOOGLEFINANCE($B12,""price"",U$1),2,2)"),7.42)</f>
        <v>7.42</v>
      </c>
      <c r="V12" s="262">
        <f t="shared" si="8"/>
        <v>-0.1124401914</v>
      </c>
      <c r="W12" s="263">
        <f>IFERROR(__xludf.DUMMYFUNCTION("INDEX(GOOGLEFINANCE($B12,""price"",W$1),2,2)"),7.79)</f>
        <v>7.79</v>
      </c>
      <c r="X12" s="262">
        <f t="shared" si="9"/>
        <v>-0.06818181818</v>
      </c>
      <c r="Y12" s="263">
        <f>IFERROR(__xludf.DUMMYFUNCTION("INDEX(GOOGLEFINANCE($B12,""price"",Y$1),2,2)"),7.78)</f>
        <v>7.78</v>
      </c>
      <c r="Z12" s="262">
        <f t="shared" si="10"/>
        <v>-0.06937799043</v>
      </c>
      <c r="AA12" s="263">
        <f>IFERROR(__xludf.DUMMYFUNCTION("INDEX(GOOGLEFINANCE($B12,""price"",AA$1),2,2)"),7.21)</f>
        <v>7.21</v>
      </c>
      <c r="AB12" s="262">
        <f t="shared" si="12"/>
        <v>-0.1375598086</v>
      </c>
    </row>
    <row r="13">
      <c r="B13" s="133" t="s">
        <v>49</v>
      </c>
      <c r="C13" s="263">
        <f>IFERROR(__xludf.DUMMYFUNCTION("INDEX(GOOGLEFINANCE(B13,""price"",$C$1),2,2)"),270.6)</f>
        <v>270.6</v>
      </c>
      <c r="D13" s="263">
        <f>IFERROR(__xludf.DUMMYFUNCTION("INDEX(GOOGLEFINANCE(B13,""price"",D$1),2,2)"),275.3)</f>
        <v>275.3</v>
      </c>
      <c r="E13" s="263">
        <f>IFERROR(__xludf.DUMMYFUNCTION("INDEX(GOOGLEFINANCE(B13,""price"",E$1),2,2)"),289.97)</f>
        <v>289.97</v>
      </c>
      <c r="F13" s="262">
        <f t="shared" si="11"/>
        <v>0.05328732292</v>
      </c>
      <c r="G13" s="263">
        <f>IFERROR(__xludf.DUMMYFUNCTION("INDEX(GOOGLEFINANCE($B13,""price"",G$1),2,2)"),290.82)</f>
        <v>290.82</v>
      </c>
      <c r="H13" s="262">
        <f t="shared" si="1"/>
        <v>0.05637486378</v>
      </c>
      <c r="I13" s="263">
        <f>IFERROR(__xludf.DUMMYFUNCTION("INDEX(GOOGLEFINANCE($B13,""price"",I$1),2,2)"),275.59)</f>
        <v>275.59</v>
      </c>
      <c r="J13" s="262">
        <f t="shared" si="2"/>
        <v>0.001053396295</v>
      </c>
      <c r="K13" s="263">
        <f>IFERROR(__xludf.DUMMYFUNCTION("INDEX(GOOGLEFINANCE($B13,""price"",K$1),2,2)"),286.68)</f>
        <v>286.68</v>
      </c>
      <c r="L13" s="262">
        <f t="shared" si="3"/>
        <v>0.04133672357</v>
      </c>
      <c r="M13" s="263">
        <f>IFERROR(__xludf.DUMMYFUNCTION("INDEX(GOOGLEFINANCE($B13,""price"",M$1),2,2)"),294.8)</f>
        <v>294.8</v>
      </c>
      <c r="N13" s="262">
        <f t="shared" si="4"/>
        <v>0.07083181983</v>
      </c>
      <c r="O13" s="263">
        <f>IFERROR(__xludf.DUMMYFUNCTION("INDEX(GOOGLEFINANCE($B13,""price"",O$1),2,2)"),280.31)</f>
        <v>280.31</v>
      </c>
      <c r="P13" s="262">
        <f t="shared" si="5"/>
        <v>0.0181983291</v>
      </c>
      <c r="Q13" s="263">
        <f>IFERROR(__xludf.DUMMYFUNCTION("INDEX(GOOGLEFINANCE($B13,""price"",Q$1),2,2)"),289.45)</f>
        <v>289.45</v>
      </c>
      <c r="R13" s="262">
        <f t="shared" si="6"/>
        <v>0.05139847439</v>
      </c>
      <c r="S13" s="263">
        <f>IFERROR(__xludf.DUMMYFUNCTION("INDEX(GOOGLEFINANCE($B13,""price"",S$1),2,2)"),304.99)</f>
        <v>304.99</v>
      </c>
      <c r="T13" s="262">
        <f t="shared" si="7"/>
        <v>0.1078459862</v>
      </c>
      <c r="U13" s="263">
        <f>IFERROR(__xludf.DUMMYFUNCTION("INDEX(GOOGLEFINANCE($B13,""price"",U$1),2,2)"),293.94)</f>
        <v>293.94</v>
      </c>
      <c r="V13" s="262">
        <f t="shared" si="8"/>
        <v>0.06770795496</v>
      </c>
      <c r="W13" s="263">
        <f>IFERROR(__xludf.DUMMYFUNCTION("INDEX(GOOGLEFINANCE($B13,""price"",W$1),2,2)"),288.29)</f>
        <v>288.29</v>
      </c>
      <c r="X13" s="262">
        <f t="shared" si="9"/>
        <v>0.04718488921</v>
      </c>
      <c r="Y13" s="263">
        <f>IFERROR(__xludf.DUMMYFUNCTION("INDEX(GOOGLEFINANCE($B13,""price"",Y$1),2,2)"),303.74)</f>
        <v>303.74</v>
      </c>
      <c r="Z13" s="262">
        <f t="shared" si="10"/>
        <v>0.1033054849</v>
      </c>
      <c r="AA13" s="263">
        <f>IFERROR(__xludf.DUMMYFUNCTION("INDEX(GOOGLEFINANCE($B13,""price"",AA$1),2,2)"),287.71)</f>
        <v>287.71</v>
      </c>
      <c r="AB13" s="262">
        <f t="shared" si="12"/>
        <v>0.04507809662</v>
      </c>
    </row>
    <row r="14">
      <c r="B14" s="133" t="s">
        <v>496</v>
      </c>
      <c r="C14" s="263">
        <f>IFERROR(__xludf.DUMMYFUNCTION("INDEX(GOOGLEFINANCE(B14,""price"",$C$1),2,2)"),8.09)</f>
        <v>8.09</v>
      </c>
      <c r="D14" s="263">
        <f>IFERROR(__xludf.DUMMYFUNCTION("INDEX(GOOGLEFINANCE(B14,""price"",D$1),2,2)"),9.16)</f>
        <v>9.16</v>
      </c>
      <c r="E14" s="263">
        <f>IFERROR(__xludf.DUMMYFUNCTION("INDEX(GOOGLEFINANCE(B14,""price"",E$1),2,2)"),8.97)</f>
        <v>8.97</v>
      </c>
      <c r="F14" s="262">
        <f t="shared" si="11"/>
        <v>-0.02074235808</v>
      </c>
      <c r="G14" s="263">
        <f>IFERROR(__xludf.DUMMYFUNCTION("INDEX(GOOGLEFINANCE($B14,""price"",G$1),2,2)"),8.5)</f>
        <v>8.5</v>
      </c>
      <c r="H14" s="262">
        <f t="shared" si="1"/>
        <v>-0.07205240175</v>
      </c>
      <c r="I14" s="263">
        <f>IFERROR(__xludf.DUMMYFUNCTION("INDEX(GOOGLEFINANCE($B14,""price"",I$1),2,2)"),7.71)</f>
        <v>7.71</v>
      </c>
      <c r="J14" s="262">
        <f t="shared" si="2"/>
        <v>-0.1582969432</v>
      </c>
      <c r="K14" s="263">
        <f>IFERROR(__xludf.DUMMYFUNCTION("INDEX(GOOGLEFINANCE($B14,""price"",K$1),2,2)"),8.49)</f>
        <v>8.49</v>
      </c>
      <c r="L14" s="262">
        <f t="shared" si="3"/>
        <v>-0.0731441048</v>
      </c>
      <c r="M14" s="263">
        <f>IFERROR(__xludf.DUMMYFUNCTION("INDEX(GOOGLEFINANCE($B14,""price"",M$1),2,2)"),8.52)</f>
        <v>8.52</v>
      </c>
      <c r="N14" s="262">
        <f t="shared" si="4"/>
        <v>-0.06986899563</v>
      </c>
      <c r="O14" s="263">
        <f>IFERROR(__xludf.DUMMYFUNCTION("INDEX(GOOGLEFINANCE($B14,""price"",O$1),2,2)"),7.56)</f>
        <v>7.56</v>
      </c>
      <c r="P14" s="262">
        <f t="shared" si="5"/>
        <v>-0.1746724891</v>
      </c>
      <c r="Q14" s="263">
        <f>IFERROR(__xludf.DUMMYFUNCTION("INDEX(GOOGLEFINANCE($B14,""price"",Q$1),2,2)"),7.86)</f>
        <v>7.86</v>
      </c>
      <c r="R14" s="262">
        <f t="shared" si="6"/>
        <v>-0.1419213974</v>
      </c>
      <c r="S14" s="263">
        <f>IFERROR(__xludf.DUMMYFUNCTION("INDEX(GOOGLEFINANCE($B14,""price"",S$1),2,2)"),7.68)</f>
        <v>7.68</v>
      </c>
      <c r="T14" s="262">
        <f t="shared" si="7"/>
        <v>-0.1615720524</v>
      </c>
      <c r="U14" s="263">
        <f>IFERROR(__xludf.DUMMYFUNCTION("INDEX(GOOGLEFINANCE($B14,""price"",U$1),2,2)"),6.71)</f>
        <v>6.71</v>
      </c>
      <c r="V14" s="262">
        <f t="shared" si="8"/>
        <v>-0.2674672489</v>
      </c>
      <c r="W14" s="263">
        <f>IFERROR(__xludf.DUMMYFUNCTION("INDEX(GOOGLEFINANCE($B14,""price"",W$1),2,2)"),6.77)</f>
        <v>6.77</v>
      </c>
      <c r="X14" s="262">
        <f t="shared" si="9"/>
        <v>-0.2609170306</v>
      </c>
      <c r="Y14" s="263">
        <f>IFERROR(__xludf.DUMMYFUNCTION("INDEX(GOOGLEFINANCE($B14,""price"",Y$1),2,2)"),6.67)</f>
        <v>6.67</v>
      </c>
      <c r="Z14" s="262">
        <f t="shared" si="10"/>
        <v>-0.2718340611</v>
      </c>
      <c r="AA14" s="263">
        <f>IFERROR(__xludf.DUMMYFUNCTION("INDEX(GOOGLEFINANCE($B14,""price"",AA$1),2,2)"),6.08)</f>
        <v>6.08</v>
      </c>
      <c r="AB14" s="262">
        <f t="shared" si="12"/>
        <v>-0.3362445415</v>
      </c>
    </row>
    <row r="15">
      <c r="B15" s="133" t="s">
        <v>500</v>
      </c>
      <c r="C15" s="263">
        <f>IFERROR(__xludf.DUMMYFUNCTION("INDEX(GOOGLEFINANCE(B15,""price"",$C$1),2,2)"),3.83)</f>
        <v>3.83</v>
      </c>
      <c r="D15" s="263">
        <f>IFERROR(__xludf.DUMMYFUNCTION("INDEX(GOOGLEFINANCE(B15,""price"",D$1),2,2)"),3.81)</f>
        <v>3.81</v>
      </c>
      <c r="E15" s="263">
        <f>IFERROR(__xludf.DUMMYFUNCTION("INDEX(GOOGLEFINANCE(B15,""price"",E$1),2,2)"),3.84)</f>
        <v>3.84</v>
      </c>
      <c r="F15" s="262">
        <f t="shared" si="11"/>
        <v>0.007874015748</v>
      </c>
      <c r="G15" s="263">
        <f>IFERROR(__xludf.DUMMYFUNCTION("INDEX(GOOGLEFINANCE($B15,""price"",G$1),2,2)"),3.86)</f>
        <v>3.86</v>
      </c>
      <c r="H15" s="262">
        <f t="shared" si="1"/>
        <v>0.01312335958</v>
      </c>
      <c r="I15" s="263">
        <f>IFERROR(__xludf.DUMMYFUNCTION("INDEX(GOOGLEFINANCE($B15,""price"",I$1),2,2)"),3.81)</f>
        <v>3.81</v>
      </c>
      <c r="J15" s="262">
        <f t="shared" si="2"/>
        <v>0</v>
      </c>
      <c r="K15" s="263">
        <f>IFERROR(__xludf.DUMMYFUNCTION("INDEX(GOOGLEFINANCE($B15,""price"",K$1),2,2)"),3.79)</f>
        <v>3.79</v>
      </c>
      <c r="L15" s="262">
        <f t="shared" si="3"/>
        <v>-0.005249343832</v>
      </c>
      <c r="M15" s="263">
        <f>IFERROR(__xludf.DUMMYFUNCTION("INDEX(GOOGLEFINANCE($B15,""price"",M$1),2,2)"),3.8)</f>
        <v>3.8</v>
      </c>
      <c r="N15" s="262">
        <f t="shared" si="4"/>
        <v>-0.002624671916</v>
      </c>
      <c r="O15" s="263">
        <f>IFERROR(__xludf.DUMMYFUNCTION("INDEX(GOOGLEFINANCE($B15,""price"",O$1),2,2)"),3.4)</f>
        <v>3.4</v>
      </c>
      <c r="P15" s="262">
        <f t="shared" si="5"/>
        <v>-0.1076115486</v>
      </c>
      <c r="Q15" s="263">
        <f>IFERROR(__xludf.DUMMYFUNCTION("INDEX(GOOGLEFINANCE($B15,""price"",Q$1),2,2)"),3.52)</f>
        <v>3.52</v>
      </c>
      <c r="R15" s="262">
        <f t="shared" si="6"/>
        <v>-0.07611548556</v>
      </c>
      <c r="S15" s="263">
        <f>IFERROR(__xludf.DUMMYFUNCTION("INDEX(GOOGLEFINANCE($B15,""price"",S$1),2,2)"),3.67)</f>
        <v>3.67</v>
      </c>
      <c r="T15" s="262">
        <f t="shared" si="7"/>
        <v>-0.03674540682</v>
      </c>
      <c r="U15" s="263">
        <f>IFERROR(__xludf.DUMMYFUNCTION("INDEX(GOOGLEFINANCE($B15,""price"",U$1),2,2)"),3.76)</f>
        <v>3.76</v>
      </c>
      <c r="V15" s="262">
        <f t="shared" si="8"/>
        <v>-0.01312335958</v>
      </c>
      <c r="W15" s="263">
        <f>IFERROR(__xludf.DUMMYFUNCTION("INDEX(GOOGLEFINANCE($B15,""price"",W$1),2,2)"),3.8)</f>
        <v>3.8</v>
      </c>
      <c r="X15" s="262">
        <f t="shared" si="9"/>
        <v>-0.002624671916</v>
      </c>
      <c r="Y15" s="263">
        <f>IFERROR(__xludf.DUMMYFUNCTION("INDEX(GOOGLEFINANCE($B15,""price"",Y$1),2,2)"),3.53)</f>
        <v>3.53</v>
      </c>
      <c r="Z15" s="262">
        <f t="shared" si="10"/>
        <v>-0.07349081365</v>
      </c>
      <c r="AA15" s="263">
        <f>IFERROR(__xludf.DUMMYFUNCTION("INDEX(GOOGLEFINANCE($B15,""price"",AA$1),2,2)"),3.43)</f>
        <v>3.43</v>
      </c>
      <c r="AB15" s="262">
        <f t="shared" si="12"/>
        <v>-0.09973753281</v>
      </c>
    </row>
    <row r="16">
      <c r="B16" s="133" t="s">
        <v>504</v>
      </c>
      <c r="C16" s="263">
        <f>IFERROR(__xludf.DUMMYFUNCTION("INDEX(GOOGLEFINANCE(B16,""price"",$C$1),2,2)"),6.44)</f>
        <v>6.44</v>
      </c>
      <c r="D16" s="263">
        <f>IFERROR(__xludf.DUMMYFUNCTION("INDEX(GOOGLEFINANCE(B16,""price"",D$1),2,2)"),6.84)</f>
        <v>6.84</v>
      </c>
      <c r="E16" s="263">
        <f>IFERROR(__xludf.DUMMYFUNCTION("INDEX(GOOGLEFINANCE(B16,""price"",E$1),2,2)"),6.8)</f>
        <v>6.8</v>
      </c>
      <c r="F16" s="262">
        <f t="shared" si="11"/>
        <v>-0.005847953216</v>
      </c>
      <c r="G16" s="263">
        <f>IFERROR(__xludf.DUMMYFUNCTION("INDEX(GOOGLEFINANCE($B16,""price"",G$1),2,2)"),6.92)</f>
        <v>6.92</v>
      </c>
      <c r="H16" s="262">
        <f t="shared" si="1"/>
        <v>0.01169590643</v>
      </c>
      <c r="I16" s="263">
        <f>IFERROR(__xludf.DUMMYFUNCTION("INDEX(GOOGLEFINANCE($B16,""price"",I$1),2,2)"),6.53)</f>
        <v>6.53</v>
      </c>
      <c r="J16" s="262">
        <f t="shared" si="2"/>
        <v>-0.04532163743</v>
      </c>
      <c r="K16" s="263">
        <f>IFERROR(__xludf.DUMMYFUNCTION("INDEX(GOOGLEFINANCE($B16,""price"",K$1),2,2)"),6.58)</f>
        <v>6.58</v>
      </c>
      <c r="L16" s="262">
        <f t="shared" si="3"/>
        <v>-0.03801169591</v>
      </c>
      <c r="M16" s="263">
        <f>IFERROR(__xludf.DUMMYFUNCTION("INDEX(GOOGLEFINANCE($B16,""price"",M$1),2,2)"),6.81)</f>
        <v>6.81</v>
      </c>
      <c r="N16" s="262">
        <f t="shared" si="4"/>
        <v>-0.004385964912</v>
      </c>
      <c r="O16" s="263">
        <f>IFERROR(__xludf.DUMMYFUNCTION("INDEX(GOOGLEFINANCE($B16,""price"",O$1),2,2)"),6.52)</f>
        <v>6.52</v>
      </c>
      <c r="P16" s="262">
        <f t="shared" si="5"/>
        <v>-0.04678362573</v>
      </c>
      <c r="Q16" s="263">
        <f>IFERROR(__xludf.DUMMYFUNCTION("INDEX(GOOGLEFINANCE($B16,""price"",Q$1),2,2)"),6.2)</f>
        <v>6.2</v>
      </c>
      <c r="R16" s="262">
        <f t="shared" si="6"/>
        <v>-0.09356725146</v>
      </c>
      <c r="S16" s="263">
        <f>IFERROR(__xludf.DUMMYFUNCTION("INDEX(GOOGLEFINANCE($B16,""price"",S$1),2,2)"),6.15)</f>
        <v>6.15</v>
      </c>
      <c r="T16" s="262">
        <f t="shared" si="7"/>
        <v>-0.100877193</v>
      </c>
      <c r="U16" s="263">
        <f>IFERROR(__xludf.DUMMYFUNCTION("INDEX(GOOGLEFINANCE($B16,""price"",U$1),2,2)"),6.2)</f>
        <v>6.2</v>
      </c>
      <c r="V16" s="262">
        <f t="shared" si="8"/>
        <v>-0.09356725146</v>
      </c>
      <c r="W16" s="263">
        <f>IFERROR(__xludf.DUMMYFUNCTION("INDEX(GOOGLEFINANCE($B16,""price"",W$1),2,2)"),6.04)</f>
        <v>6.04</v>
      </c>
      <c r="X16" s="262">
        <f t="shared" si="9"/>
        <v>-0.1169590643</v>
      </c>
      <c r="Y16" s="263">
        <f>IFERROR(__xludf.DUMMYFUNCTION("INDEX(GOOGLEFINANCE($B16,""price"",Y$1),2,2)"),6.17)</f>
        <v>6.17</v>
      </c>
      <c r="Z16" s="262">
        <f t="shared" si="10"/>
        <v>-0.09795321637</v>
      </c>
      <c r="AA16" s="263">
        <f>IFERROR(__xludf.DUMMYFUNCTION("INDEX(GOOGLEFINANCE($B16,""price"",AA$1),2,2)"),6.38)</f>
        <v>6.38</v>
      </c>
      <c r="AB16" s="262">
        <f t="shared" si="12"/>
        <v>-0.06725146199</v>
      </c>
    </row>
    <row r="17">
      <c r="B17" s="133" t="s">
        <v>507</v>
      </c>
      <c r="C17" s="263">
        <f>IFERROR(__xludf.DUMMYFUNCTION("INDEX(GOOGLEFINANCE(B17,""price"",$C$1),2,2)"),20.59)</f>
        <v>20.59</v>
      </c>
      <c r="D17" s="263">
        <f>IFERROR(__xludf.DUMMYFUNCTION("INDEX(GOOGLEFINANCE(B17,""price"",D$1),2,2)"),20.95)</f>
        <v>20.95</v>
      </c>
      <c r="E17" s="263">
        <f>IFERROR(__xludf.DUMMYFUNCTION("INDEX(GOOGLEFINANCE(B17,""price"",E$1),2,2)"),17.57)</f>
        <v>17.57</v>
      </c>
      <c r="F17" s="262">
        <f t="shared" si="11"/>
        <v>-0.1613365155</v>
      </c>
      <c r="G17" s="263">
        <f>IFERROR(__xludf.DUMMYFUNCTION("INDEX(GOOGLEFINANCE($B17,""price"",G$1),2,2)"),17.19)</f>
        <v>17.19</v>
      </c>
      <c r="H17" s="262">
        <f t="shared" si="1"/>
        <v>-0.1794749403</v>
      </c>
      <c r="I17" s="263">
        <f>IFERROR(__xludf.DUMMYFUNCTION("INDEX(GOOGLEFINANCE($B17,""price"",I$1),2,2)"),15.73)</f>
        <v>15.73</v>
      </c>
      <c r="J17" s="262">
        <f t="shared" si="2"/>
        <v>-0.2491646778</v>
      </c>
      <c r="K17" s="263">
        <f>IFERROR(__xludf.DUMMYFUNCTION("INDEX(GOOGLEFINANCE($B17,""price"",K$1),2,2)"),15.51)</f>
        <v>15.51</v>
      </c>
      <c r="L17" s="262">
        <f t="shared" si="3"/>
        <v>-0.2596658711</v>
      </c>
      <c r="M17" s="263">
        <f>IFERROR(__xludf.DUMMYFUNCTION("INDEX(GOOGLEFINANCE($B17,""price"",M$1),2,2)"),16.56)</f>
        <v>16.56</v>
      </c>
      <c r="N17" s="262">
        <f t="shared" si="4"/>
        <v>-0.2095465394</v>
      </c>
      <c r="O17" s="263">
        <f>IFERROR(__xludf.DUMMYFUNCTION("INDEX(GOOGLEFINANCE($B17,""price"",O$1),2,2)"),16.13)</f>
        <v>16.13</v>
      </c>
      <c r="P17" s="262">
        <f t="shared" si="5"/>
        <v>-0.230071599</v>
      </c>
      <c r="Q17" s="263">
        <f>IFERROR(__xludf.DUMMYFUNCTION("INDEX(GOOGLEFINANCE($B17,""price"",Q$1),2,2)"),15.49)</f>
        <v>15.49</v>
      </c>
      <c r="R17" s="262">
        <f t="shared" si="6"/>
        <v>-0.2606205251</v>
      </c>
      <c r="S17" s="263">
        <f>IFERROR(__xludf.DUMMYFUNCTION("INDEX(GOOGLEFINANCE($B17,""price"",S$1),2,2)"),16.17)</f>
        <v>16.17</v>
      </c>
      <c r="T17" s="262">
        <f t="shared" si="7"/>
        <v>-0.2281622912</v>
      </c>
      <c r="U17" s="263">
        <f>IFERROR(__xludf.DUMMYFUNCTION("INDEX(GOOGLEFINANCE($B17,""price"",U$1),2,2)"),16.17)</f>
        <v>16.17</v>
      </c>
      <c r="V17" s="262">
        <f t="shared" si="8"/>
        <v>-0.2281622912</v>
      </c>
      <c r="W17" s="263">
        <f>IFERROR(__xludf.DUMMYFUNCTION("INDEX(GOOGLEFINANCE($B17,""price"",W$1),2,2)"),16.77)</f>
        <v>16.77</v>
      </c>
      <c r="X17" s="262">
        <f t="shared" si="9"/>
        <v>-0.199522673</v>
      </c>
      <c r="Y17" s="263">
        <f>IFERROR(__xludf.DUMMYFUNCTION("INDEX(GOOGLEFINANCE($B17,""price"",Y$1),2,2)"),17.63)</f>
        <v>17.63</v>
      </c>
      <c r="Z17" s="262">
        <f t="shared" si="10"/>
        <v>-0.1584725537</v>
      </c>
      <c r="AA17" s="263">
        <f>IFERROR(__xludf.DUMMYFUNCTION("INDEX(GOOGLEFINANCE($B17,""price"",AA$1),2,2)"),18.34)</f>
        <v>18.34</v>
      </c>
      <c r="AB17" s="262">
        <f t="shared" si="12"/>
        <v>-0.1245823389</v>
      </c>
    </row>
    <row r="18">
      <c r="B18" s="133" t="s">
        <v>27</v>
      </c>
      <c r="C18" s="263">
        <f>IFERROR(__xludf.DUMMYFUNCTION("INDEX(GOOGLEFINANCE(B18,""price"",$C$1),2,2)"),59.34)</f>
        <v>59.34</v>
      </c>
      <c r="D18" s="263">
        <f>IFERROR(__xludf.DUMMYFUNCTION("INDEX(GOOGLEFINANCE(B18,""price"",D$1),2,2)"),61.29)</f>
        <v>61.29</v>
      </c>
      <c r="E18" s="263">
        <f>IFERROR(__xludf.DUMMYFUNCTION("INDEX(GOOGLEFINANCE(B18,""price"",E$1),2,2)"),60.87)</f>
        <v>60.87</v>
      </c>
      <c r="F18" s="262">
        <f t="shared" si="11"/>
        <v>-0.006852667646</v>
      </c>
      <c r="G18" s="263">
        <f>IFERROR(__xludf.DUMMYFUNCTION("INDEX(GOOGLEFINANCE($B18,""price"",G$1),2,2)"),57.38)</f>
        <v>57.38</v>
      </c>
      <c r="H18" s="262">
        <f t="shared" si="1"/>
        <v>-0.06379507261</v>
      </c>
      <c r="I18" s="263">
        <f>IFERROR(__xludf.DUMMYFUNCTION("INDEX(GOOGLEFINANCE($B18,""price"",I$1),2,2)"),56.29)</f>
        <v>56.29</v>
      </c>
      <c r="J18" s="262">
        <f t="shared" si="2"/>
        <v>-0.08157937673</v>
      </c>
      <c r="K18" s="263">
        <f>IFERROR(__xludf.DUMMYFUNCTION("INDEX(GOOGLEFINANCE($B18,""price"",K$1),2,2)"),58.94)</f>
        <v>58.94</v>
      </c>
      <c r="L18" s="262">
        <f t="shared" si="3"/>
        <v>-0.03834230706</v>
      </c>
      <c r="M18" s="263">
        <f>IFERROR(__xludf.DUMMYFUNCTION("INDEX(GOOGLEFINANCE($B18,""price"",M$1),2,2)"),57.14)</f>
        <v>57.14</v>
      </c>
      <c r="N18" s="262">
        <f t="shared" si="4"/>
        <v>-0.06771088269</v>
      </c>
      <c r="O18" s="263">
        <f>IFERROR(__xludf.DUMMYFUNCTION("INDEX(GOOGLEFINANCE($B18,""price"",O$1),2,2)"),54.43)</f>
        <v>54.43</v>
      </c>
      <c r="P18" s="262">
        <f t="shared" si="5"/>
        <v>-0.1119269049</v>
      </c>
      <c r="Q18" s="263">
        <f>IFERROR(__xludf.DUMMYFUNCTION("INDEX(GOOGLEFINANCE($B18,""price"",Q$1),2,2)"),53.03)</f>
        <v>53.03</v>
      </c>
      <c r="R18" s="262">
        <f t="shared" si="6"/>
        <v>-0.1347691304</v>
      </c>
      <c r="S18" s="263">
        <f>IFERROR(__xludf.DUMMYFUNCTION("INDEX(GOOGLEFINANCE($B18,""price"",S$1),2,2)"),53.9)</f>
        <v>53.9</v>
      </c>
      <c r="T18" s="262">
        <f t="shared" si="7"/>
        <v>-0.1205743188</v>
      </c>
      <c r="U18" s="263">
        <f>IFERROR(__xludf.DUMMYFUNCTION("INDEX(GOOGLEFINANCE($B18,""price"",U$1),2,2)"),55.0)</f>
        <v>55</v>
      </c>
      <c r="V18" s="262">
        <f t="shared" si="8"/>
        <v>-0.1026268559</v>
      </c>
      <c r="W18" s="263">
        <f>IFERROR(__xludf.DUMMYFUNCTION("INDEX(GOOGLEFINANCE($B18,""price"",W$1),2,2)"),57.22)</f>
        <v>57.22</v>
      </c>
      <c r="X18" s="262">
        <f t="shared" si="9"/>
        <v>-0.06640561266</v>
      </c>
      <c r="Y18" s="263">
        <f>IFERROR(__xludf.DUMMYFUNCTION("INDEX(GOOGLEFINANCE($B18,""price"",Y$1),2,2)"),60.34)</f>
        <v>60.34</v>
      </c>
      <c r="Z18" s="262">
        <f t="shared" si="10"/>
        <v>-0.01550008158</v>
      </c>
      <c r="AA18" s="263">
        <f>IFERROR(__xludf.DUMMYFUNCTION("INDEX(GOOGLEFINANCE($B18,""price"",AA$1),2,2)"),57.66)</f>
        <v>57.66</v>
      </c>
      <c r="AB18" s="262">
        <f t="shared" si="12"/>
        <v>-0.05922662751</v>
      </c>
    </row>
    <row r="19">
      <c r="B19" s="133" t="s">
        <v>157</v>
      </c>
      <c r="C19" s="263">
        <f>IFERROR(__xludf.DUMMYFUNCTION("INDEX(GOOGLEFINANCE(B19,""price"",$C$1),2,2)"),45.93)</f>
        <v>45.93</v>
      </c>
      <c r="D19" s="263">
        <f>IFERROR(__xludf.DUMMYFUNCTION("INDEX(GOOGLEFINANCE(B19,""price"",D$1),2,2)"),46.91)</f>
        <v>46.91</v>
      </c>
      <c r="E19" s="263">
        <f>IFERROR(__xludf.DUMMYFUNCTION("INDEX(GOOGLEFINANCE(B19,""price"",E$1),2,2)"),46.07)</f>
        <v>46.07</v>
      </c>
      <c r="F19" s="262">
        <f t="shared" si="11"/>
        <v>-0.01790662972</v>
      </c>
      <c r="G19" s="263">
        <f>IFERROR(__xludf.DUMMYFUNCTION("INDEX(GOOGLEFINANCE($B19,""price"",G$1),2,2)"),46.15)</f>
        <v>46.15</v>
      </c>
      <c r="H19" s="262">
        <f t="shared" si="1"/>
        <v>-0.01620123641</v>
      </c>
      <c r="I19" s="263">
        <f>IFERROR(__xludf.DUMMYFUNCTION("INDEX(GOOGLEFINANCE($B19,""price"",I$1),2,2)"),45.44)</f>
        <v>45.44</v>
      </c>
      <c r="J19" s="262">
        <f t="shared" si="2"/>
        <v>-0.031336602</v>
      </c>
      <c r="K19" s="263">
        <f>IFERROR(__xludf.DUMMYFUNCTION("INDEX(GOOGLEFINANCE($B19,""price"",K$1),2,2)"),45.22)</f>
        <v>45.22</v>
      </c>
      <c r="L19" s="262">
        <f t="shared" si="3"/>
        <v>-0.0360264336</v>
      </c>
      <c r="M19" s="263">
        <f>IFERROR(__xludf.DUMMYFUNCTION("INDEX(GOOGLEFINANCE($B19,""price"",M$1),2,2)"),44.89)</f>
        <v>44.89</v>
      </c>
      <c r="N19" s="262">
        <f t="shared" si="4"/>
        <v>-0.04306118098</v>
      </c>
      <c r="O19" s="263">
        <f>IFERROR(__xludf.DUMMYFUNCTION("INDEX(GOOGLEFINANCE($B19,""price"",O$1),2,2)"),41.94)</f>
        <v>41.94</v>
      </c>
      <c r="P19" s="262">
        <f t="shared" si="5"/>
        <v>-0.1059475592</v>
      </c>
      <c r="Q19" s="263">
        <f>IFERROR(__xludf.DUMMYFUNCTION("INDEX(GOOGLEFINANCE($B19,""price"",Q$1),2,2)"),42.63)</f>
        <v>42.63</v>
      </c>
      <c r="R19" s="262">
        <f t="shared" si="6"/>
        <v>-0.09123854189</v>
      </c>
      <c r="S19" s="263">
        <f>IFERROR(__xludf.DUMMYFUNCTION("INDEX(GOOGLEFINANCE($B19,""price"",S$1),2,2)"),44.1)</f>
        <v>44.1</v>
      </c>
      <c r="T19" s="262">
        <f t="shared" si="7"/>
        <v>-0.05990193988</v>
      </c>
      <c r="U19" s="263">
        <f>IFERROR(__xludf.DUMMYFUNCTION("INDEX(GOOGLEFINANCE($B19,""price"",U$1),2,2)"),43.79)</f>
        <v>43.79</v>
      </c>
      <c r="V19" s="262">
        <f t="shared" si="8"/>
        <v>-0.06651033895</v>
      </c>
      <c r="W19" s="263">
        <f>IFERROR(__xludf.DUMMYFUNCTION("INDEX(GOOGLEFINANCE($B19,""price"",W$1),2,2)"),43.86)</f>
        <v>43.86</v>
      </c>
      <c r="X19" s="262">
        <f t="shared" si="9"/>
        <v>-0.0650181198</v>
      </c>
      <c r="Y19" s="263">
        <f>IFERROR(__xludf.DUMMYFUNCTION("INDEX(GOOGLEFINANCE($B19,""price"",Y$1),2,2)"),41.7)</f>
        <v>41.7</v>
      </c>
      <c r="Z19" s="262">
        <f t="shared" si="10"/>
        <v>-0.1110637391</v>
      </c>
      <c r="AA19" s="263">
        <f>IFERROR(__xludf.DUMMYFUNCTION("INDEX(GOOGLEFINANCE($B19,""price"",AA$1),2,2)"),40.42)</f>
        <v>40.42</v>
      </c>
      <c r="AB19" s="262">
        <f t="shared" si="12"/>
        <v>-0.138350032</v>
      </c>
    </row>
    <row r="20">
      <c r="B20" s="133" t="s">
        <v>513</v>
      </c>
      <c r="C20" s="263">
        <f>IFERROR(__xludf.DUMMYFUNCTION("INDEX(GOOGLEFINANCE(B20,""price"",$C$1),2,2)"),6.68)</f>
        <v>6.68</v>
      </c>
      <c r="D20" s="263">
        <f>IFERROR(__xludf.DUMMYFUNCTION("INDEX(GOOGLEFINANCE(B20,""price"",D$1),2,2)"),6.7)</f>
        <v>6.7</v>
      </c>
      <c r="E20" s="263">
        <f>IFERROR(__xludf.DUMMYFUNCTION("INDEX(GOOGLEFINANCE(B20,""price"",E$1),2,2)"),6.21)</f>
        <v>6.21</v>
      </c>
      <c r="F20" s="262">
        <f t="shared" si="11"/>
        <v>-0.07313432836</v>
      </c>
      <c r="G20" s="263">
        <f>IFERROR(__xludf.DUMMYFUNCTION("INDEX(GOOGLEFINANCE($B20,""price"",G$1),2,2)"),6.38)</f>
        <v>6.38</v>
      </c>
      <c r="H20" s="262">
        <f t="shared" si="1"/>
        <v>-0.04776119403</v>
      </c>
      <c r="I20" s="263">
        <f>IFERROR(__xludf.DUMMYFUNCTION("INDEX(GOOGLEFINANCE($B20,""price"",I$1),2,2)"),6.17)</f>
        <v>6.17</v>
      </c>
      <c r="J20" s="262">
        <f t="shared" si="2"/>
        <v>-0.07910447761</v>
      </c>
      <c r="K20" s="263">
        <f>IFERROR(__xludf.DUMMYFUNCTION("INDEX(GOOGLEFINANCE($B20,""price"",K$1),2,2)"),5.31)</f>
        <v>5.31</v>
      </c>
      <c r="L20" s="262">
        <f t="shared" si="3"/>
        <v>-0.2074626866</v>
      </c>
      <c r="M20" s="263">
        <f>IFERROR(__xludf.DUMMYFUNCTION("INDEX(GOOGLEFINANCE($B20,""price"",M$1),2,2)"),4.59)</f>
        <v>4.59</v>
      </c>
      <c r="N20" s="262">
        <f t="shared" si="4"/>
        <v>-0.3149253731</v>
      </c>
      <c r="O20" s="263">
        <f>IFERROR(__xludf.DUMMYFUNCTION("INDEX(GOOGLEFINANCE($B20,""price"",O$1),2,2)"),4.12)</f>
        <v>4.12</v>
      </c>
      <c r="P20" s="262">
        <f t="shared" si="5"/>
        <v>-0.3850746269</v>
      </c>
      <c r="Q20" s="263">
        <f>IFERROR(__xludf.DUMMYFUNCTION("INDEX(GOOGLEFINANCE($B20,""price"",Q$1),2,2)"),3.87)</f>
        <v>3.87</v>
      </c>
      <c r="R20" s="262">
        <f t="shared" si="6"/>
        <v>-0.4223880597</v>
      </c>
      <c r="S20" s="263">
        <f>IFERROR(__xludf.DUMMYFUNCTION("INDEX(GOOGLEFINANCE($B20,""price"",S$1),2,2)"),3.61)</f>
        <v>3.61</v>
      </c>
      <c r="T20" s="262">
        <f t="shared" si="7"/>
        <v>-0.4611940299</v>
      </c>
      <c r="U20" s="263">
        <f>IFERROR(__xludf.DUMMYFUNCTION("INDEX(GOOGLEFINANCE($B20,""price"",U$1),2,2)"),3.37)</f>
        <v>3.37</v>
      </c>
      <c r="V20" s="262">
        <f t="shared" si="8"/>
        <v>-0.4970149254</v>
      </c>
      <c r="W20" s="263">
        <f>IFERROR(__xludf.DUMMYFUNCTION("INDEX(GOOGLEFINANCE($B20,""price"",W$1),2,2)"),3.54)</f>
        <v>3.54</v>
      </c>
      <c r="X20" s="262">
        <f t="shared" si="9"/>
        <v>-0.471641791</v>
      </c>
      <c r="Y20" s="263">
        <f>IFERROR(__xludf.DUMMYFUNCTION("INDEX(GOOGLEFINANCE($B20,""price"",Y$1),2,2)"),4.05)</f>
        <v>4.05</v>
      </c>
      <c r="Z20" s="262">
        <f t="shared" si="10"/>
        <v>-0.3955223881</v>
      </c>
      <c r="AA20" s="263">
        <f>IFERROR(__xludf.DUMMYFUNCTION("INDEX(GOOGLEFINANCE($B20,""price"",AA$1),2,2)"),3.62)</f>
        <v>3.62</v>
      </c>
      <c r="AB20" s="262">
        <f t="shared" si="12"/>
        <v>-0.4597014925</v>
      </c>
    </row>
    <row r="21">
      <c r="B21" s="133" t="s">
        <v>37</v>
      </c>
      <c r="C21" s="263">
        <f>IFERROR(__xludf.DUMMYFUNCTION("INDEX(GOOGLEFINANCE(B21,""price"",$C$1),2,2)"),10.86)</f>
        <v>10.86</v>
      </c>
      <c r="D21" s="263">
        <f>IFERROR(__xludf.DUMMYFUNCTION("INDEX(GOOGLEFINANCE(B21,""price"",D$1),2,2)"),10.54)</f>
        <v>10.54</v>
      </c>
      <c r="E21" s="263">
        <f>IFERROR(__xludf.DUMMYFUNCTION("INDEX(GOOGLEFINANCE(B21,""price"",E$1),2,2)"),10.79)</f>
        <v>10.79</v>
      </c>
      <c r="F21" s="262">
        <f t="shared" si="11"/>
        <v>0.02371916509</v>
      </c>
      <c r="G21" s="263">
        <f>IFERROR(__xludf.DUMMYFUNCTION("INDEX(GOOGLEFINANCE($B21,""price"",G$1),2,2)"),9.52)</f>
        <v>9.52</v>
      </c>
      <c r="H21" s="262">
        <f t="shared" si="1"/>
        <v>-0.09677419355</v>
      </c>
      <c r="I21" s="263">
        <f>IFERROR(__xludf.DUMMYFUNCTION("INDEX(GOOGLEFINANCE($B21,""price"",I$1),2,2)"),9.45)</f>
        <v>9.45</v>
      </c>
      <c r="J21" s="262">
        <f t="shared" si="2"/>
        <v>-0.1034155598</v>
      </c>
      <c r="K21" s="263">
        <f>IFERROR(__xludf.DUMMYFUNCTION("INDEX(GOOGLEFINANCE($B21,""price"",K$1),2,2)"),9.55)</f>
        <v>9.55</v>
      </c>
      <c r="L21" s="262">
        <f t="shared" si="3"/>
        <v>-0.09392789374</v>
      </c>
      <c r="M21" s="263">
        <f>IFERROR(__xludf.DUMMYFUNCTION("INDEX(GOOGLEFINANCE($B21,""price"",M$1),2,2)"),9.58)</f>
        <v>9.58</v>
      </c>
      <c r="N21" s="262">
        <f t="shared" si="4"/>
        <v>-0.09108159393</v>
      </c>
      <c r="O21" s="263">
        <f>IFERROR(__xludf.DUMMYFUNCTION("INDEX(GOOGLEFINANCE($B21,""price"",O$1),2,2)"),8.85)</f>
        <v>8.85</v>
      </c>
      <c r="P21" s="262">
        <f t="shared" si="5"/>
        <v>-0.160341556</v>
      </c>
      <c r="Q21" s="263">
        <f>IFERROR(__xludf.DUMMYFUNCTION("INDEX(GOOGLEFINANCE($B21,""price"",Q$1),2,2)"),8.78)</f>
        <v>8.78</v>
      </c>
      <c r="R21" s="262">
        <f t="shared" si="6"/>
        <v>-0.1669829222</v>
      </c>
      <c r="S21" s="263">
        <f>IFERROR(__xludf.DUMMYFUNCTION("INDEX(GOOGLEFINANCE($B21,""price"",S$1),2,2)"),8.59)</f>
        <v>8.59</v>
      </c>
      <c r="T21" s="262">
        <f t="shared" si="7"/>
        <v>-0.1850094877</v>
      </c>
      <c r="U21" s="263">
        <f>IFERROR(__xludf.DUMMYFUNCTION("INDEX(GOOGLEFINANCE($B21,""price"",U$1),2,2)"),8.94)</f>
        <v>8.94</v>
      </c>
      <c r="V21" s="262">
        <f t="shared" si="8"/>
        <v>-0.1518026565</v>
      </c>
      <c r="W21" s="263">
        <f>IFERROR(__xludf.DUMMYFUNCTION("INDEX(GOOGLEFINANCE($B21,""price"",W$1),2,2)"),9.65)</f>
        <v>9.65</v>
      </c>
      <c r="X21" s="262">
        <f t="shared" si="9"/>
        <v>-0.0844402277</v>
      </c>
      <c r="Y21" s="263">
        <f>IFERROR(__xludf.DUMMYFUNCTION("INDEX(GOOGLEFINANCE($B21,""price"",Y$1),2,2)"),8.86)</f>
        <v>8.86</v>
      </c>
      <c r="Z21" s="262">
        <f t="shared" si="10"/>
        <v>-0.1593927894</v>
      </c>
      <c r="AA21" s="263">
        <f>IFERROR(__xludf.DUMMYFUNCTION("INDEX(GOOGLEFINANCE($B21,""price"",AA$1),2,2)"),8.67)</f>
        <v>8.67</v>
      </c>
      <c r="AB21" s="262">
        <f t="shared" si="12"/>
        <v>-0.1774193548</v>
      </c>
    </row>
    <row r="22">
      <c r="AB22" s="262"/>
    </row>
    <row r="23">
      <c r="AB23" s="262"/>
    </row>
    <row r="24">
      <c r="AB24" s="262"/>
    </row>
    <row r="25">
      <c r="AB25" s="262"/>
    </row>
    <row r="26">
      <c r="AB26" s="262"/>
    </row>
    <row r="27">
      <c r="AB27" s="262"/>
    </row>
    <row r="28">
      <c r="AB28" s="262"/>
    </row>
    <row r="29">
      <c r="AB29" s="262"/>
    </row>
    <row r="30">
      <c r="AB30" s="262"/>
    </row>
    <row r="31">
      <c r="AB31" s="262"/>
    </row>
    <row r="32">
      <c r="AB32" s="262"/>
    </row>
    <row r="33">
      <c r="AB33" s="262"/>
    </row>
    <row r="34">
      <c r="AB34" s="262"/>
    </row>
    <row r="35">
      <c r="AB35" s="262"/>
    </row>
    <row r="36">
      <c r="AB36" s="262"/>
    </row>
    <row r="37">
      <c r="AB37" s="262"/>
    </row>
    <row r="38">
      <c r="AB38" s="262"/>
    </row>
    <row r="39">
      <c r="AB39" s="262"/>
    </row>
    <row r="40">
      <c r="AB40" s="262"/>
    </row>
    <row r="41">
      <c r="AB41" s="262"/>
    </row>
    <row r="42">
      <c r="AB42" s="262"/>
    </row>
    <row r="43">
      <c r="AB43" s="262"/>
    </row>
    <row r="44">
      <c r="AB44" s="262"/>
    </row>
    <row r="45">
      <c r="AB45" s="262"/>
    </row>
    <row r="46">
      <c r="AB46" s="262"/>
    </row>
    <row r="47">
      <c r="AB47" s="262"/>
    </row>
    <row r="48">
      <c r="AB48" s="262"/>
    </row>
    <row r="49">
      <c r="AB49" s="262"/>
    </row>
    <row r="50">
      <c r="AB50" s="262"/>
    </row>
    <row r="51">
      <c r="AB51" s="262"/>
    </row>
    <row r="52">
      <c r="AB52" s="262"/>
    </row>
    <row r="53">
      <c r="AB53" s="262"/>
    </row>
    <row r="54">
      <c r="AB54" s="262"/>
    </row>
    <row r="55">
      <c r="AB55" s="262"/>
    </row>
    <row r="56">
      <c r="AB56" s="262"/>
    </row>
    <row r="57">
      <c r="AB57" s="262"/>
    </row>
    <row r="58">
      <c r="AB58" s="262"/>
    </row>
    <row r="59">
      <c r="AB59" s="262"/>
    </row>
    <row r="60">
      <c r="AB60" s="262"/>
    </row>
    <row r="61">
      <c r="AB61" s="262"/>
    </row>
    <row r="62">
      <c r="AB62" s="262"/>
    </row>
    <row r="63">
      <c r="AB63" s="262"/>
    </row>
    <row r="64">
      <c r="AB64" s="262"/>
    </row>
    <row r="65">
      <c r="AB65" s="262"/>
    </row>
    <row r="66">
      <c r="AB66" s="262"/>
    </row>
    <row r="67">
      <c r="AB67" s="262"/>
    </row>
    <row r="68">
      <c r="AB68" s="262"/>
    </row>
    <row r="69">
      <c r="AB69" s="262"/>
    </row>
    <row r="70">
      <c r="AB70" s="262"/>
    </row>
    <row r="71">
      <c r="AB71" s="262"/>
    </row>
    <row r="72">
      <c r="AB72" s="262"/>
    </row>
    <row r="73">
      <c r="AB73" s="262"/>
    </row>
    <row r="74">
      <c r="AB74" s="262"/>
    </row>
    <row r="75">
      <c r="AB75" s="262"/>
    </row>
    <row r="76">
      <c r="AB76" s="262"/>
    </row>
    <row r="77">
      <c r="AB77" s="262"/>
    </row>
    <row r="78">
      <c r="AB78" s="262"/>
    </row>
    <row r="79">
      <c r="AB79" s="262"/>
    </row>
    <row r="80">
      <c r="AB80" s="262"/>
    </row>
    <row r="81">
      <c r="AB81" s="262"/>
    </row>
    <row r="82">
      <c r="AB82" s="262"/>
    </row>
    <row r="83">
      <c r="AB83" s="262"/>
    </row>
    <row r="84">
      <c r="AB84" s="262"/>
    </row>
    <row r="85">
      <c r="AB85" s="262"/>
    </row>
    <row r="86">
      <c r="AB86" s="262"/>
    </row>
    <row r="87">
      <c r="AB87" s="262"/>
    </row>
    <row r="88">
      <c r="AB88" s="262"/>
    </row>
    <row r="89">
      <c r="AB89" s="262"/>
    </row>
    <row r="90">
      <c r="AB90" s="262"/>
    </row>
    <row r="91">
      <c r="AB91" s="262"/>
    </row>
    <row r="92">
      <c r="AB92" s="262"/>
    </row>
    <row r="93">
      <c r="AB93" s="262"/>
    </row>
    <row r="94">
      <c r="AB94" s="262"/>
    </row>
    <row r="95">
      <c r="AB95" s="262"/>
    </row>
    <row r="96">
      <c r="AB96" s="262"/>
    </row>
    <row r="97">
      <c r="AB97" s="262"/>
    </row>
    <row r="98">
      <c r="AB98" s="262"/>
    </row>
    <row r="99">
      <c r="AB99" s="262"/>
    </row>
    <row r="100">
      <c r="AB100" s="262"/>
    </row>
    <row r="101">
      <c r="AB101" s="262"/>
    </row>
    <row r="102">
      <c r="AB102" s="262"/>
    </row>
    <row r="103">
      <c r="AB103" s="262"/>
    </row>
    <row r="104">
      <c r="AB104" s="262"/>
    </row>
    <row r="105">
      <c r="AB105" s="262"/>
    </row>
    <row r="106">
      <c r="AB106" s="262"/>
    </row>
    <row r="107">
      <c r="AB107" s="262"/>
    </row>
    <row r="108">
      <c r="AB108" s="262"/>
    </row>
    <row r="109">
      <c r="AB109" s="262"/>
    </row>
    <row r="110">
      <c r="AB110" s="262"/>
    </row>
    <row r="111">
      <c r="AB111" s="262"/>
    </row>
    <row r="112">
      <c r="AB112" s="262"/>
    </row>
    <row r="113">
      <c r="AB113" s="262"/>
    </row>
    <row r="114">
      <c r="AB114" s="262"/>
    </row>
    <row r="115">
      <c r="AB115" s="262"/>
    </row>
    <row r="116">
      <c r="AB116" s="262"/>
    </row>
    <row r="117">
      <c r="AB117" s="262"/>
    </row>
    <row r="118">
      <c r="AB118" s="262"/>
    </row>
    <row r="119">
      <c r="AB119" s="262"/>
    </row>
    <row r="120">
      <c r="AB120" s="262"/>
    </row>
    <row r="121">
      <c r="AB121" s="262"/>
    </row>
    <row r="122">
      <c r="AB122" s="262"/>
    </row>
    <row r="123">
      <c r="AB123" s="262"/>
    </row>
    <row r="124">
      <c r="AB124" s="262"/>
    </row>
    <row r="125">
      <c r="AB125" s="262"/>
    </row>
    <row r="126">
      <c r="AB126" s="262"/>
    </row>
    <row r="127">
      <c r="AB127" s="262"/>
    </row>
    <row r="128">
      <c r="AB128" s="262"/>
    </row>
    <row r="129">
      <c r="AB129" s="262"/>
    </row>
    <row r="130">
      <c r="AB130" s="262"/>
    </row>
    <row r="131">
      <c r="AB131" s="262"/>
    </row>
    <row r="132">
      <c r="AB132" s="262"/>
    </row>
    <row r="133">
      <c r="AB133" s="262"/>
    </row>
    <row r="134">
      <c r="AB134" s="262"/>
    </row>
    <row r="135">
      <c r="AB135" s="262"/>
    </row>
    <row r="136">
      <c r="AB136" s="262"/>
    </row>
    <row r="137">
      <c r="AB137" s="262"/>
    </row>
    <row r="138">
      <c r="AB138" s="262"/>
    </row>
    <row r="139">
      <c r="AB139" s="262"/>
    </row>
    <row r="140">
      <c r="AB140" s="262"/>
    </row>
    <row r="141">
      <c r="AB141" s="262"/>
    </row>
    <row r="142">
      <c r="AB142" s="262"/>
    </row>
    <row r="143">
      <c r="AB143" s="262"/>
    </row>
    <row r="144">
      <c r="AB144" s="262"/>
    </row>
    <row r="145">
      <c r="AB145" s="262"/>
    </row>
    <row r="146">
      <c r="AB146" s="262"/>
    </row>
    <row r="147">
      <c r="AB147" s="262"/>
    </row>
    <row r="148">
      <c r="AB148" s="262"/>
    </row>
    <row r="149">
      <c r="AB149" s="262"/>
    </row>
    <row r="150">
      <c r="AB150" s="262"/>
    </row>
    <row r="151">
      <c r="AB151" s="262"/>
    </row>
    <row r="152">
      <c r="AB152" s="262"/>
    </row>
    <row r="153">
      <c r="AB153" s="262"/>
    </row>
    <row r="154">
      <c r="AB154" s="262"/>
    </row>
    <row r="155">
      <c r="AB155" s="262"/>
    </row>
    <row r="156">
      <c r="AB156" s="262"/>
    </row>
    <row r="157">
      <c r="AB157" s="262"/>
    </row>
    <row r="158">
      <c r="AB158" s="262"/>
    </row>
    <row r="159">
      <c r="AB159" s="262"/>
    </row>
    <row r="160">
      <c r="AB160" s="262"/>
    </row>
    <row r="161">
      <c r="AB161" s="262"/>
    </row>
    <row r="162">
      <c r="AB162" s="262"/>
    </row>
    <row r="163">
      <c r="AB163" s="262"/>
    </row>
    <row r="164">
      <c r="AB164" s="262"/>
    </row>
    <row r="165">
      <c r="AB165" s="262"/>
    </row>
    <row r="166">
      <c r="AB166" s="262"/>
    </row>
    <row r="167">
      <c r="AB167" s="262"/>
    </row>
    <row r="168">
      <c r="AB168" s="262"/>
    </row>
    <row r="169">
      <c r="AB169" s="262"/>
    </row>
    <row r="170">
      <c r="AB170" s="262"/>
    </row>
    <row r="171">
      <c r="AB171" s="262"/>
    </row>
    <row r="172">
      <c r="AB172" s="262"/>
    </row>
    <row r="173">
      <c r="AB173" s="262"/>
    </row>
    <row r="174">
      <c r="AB174" s="262"/>
    </row>
    <row r="175">
      <c r="AB175" s="262"/>
    </row>
    <row r="176">
      <c r="AB176" s="262"/>
    </row>
    <row r="177">
      <c r="AB177" s="262"/>
    </row>
    <row r="178">
      <c r="AB178" s="262"/>
    </row>
    <row r="179">
      <c r="AB179" s="262"/>
    </row>
    <row r="180">
      <c r="AB180" s="262"/>
    </row>
    <row r="181">
      <c r="AB181" s="262"/>
    </row>
    <row r="182">
      <c r="AB182" s="262"/>
    </row>
    <row r="183">
      <c r="AB183" s="262"/>
    </row>
    <row r="184">
      <c r="AB184" s="262"/>
    </row>
    <row r="185">
      <c r="AB185" s="262"/>
    </row>
    <row r="186">
      <c r="AB186" s="262"/>
    </row>
    <row r="187">
      <c r="AB187" s="262"/>
    </row>
    <row r="188">
      <c r="AB188" s="262"/>
    </row>
    <row r="189">
      <c r="AB189" s="262"/>
    </row>
    <row r="190">
      <c r="AB190" s="262"/>
    </row>
    <row r="191">
      <c r="AB191" s="262"/>
    </row>
    <row r="192">
      <c r="AB192" s="262"/>
    </row>
    <row r="193">
      <c r="AB193" s="262"/>
    </row>
    <row r="194">
      <c r="AB194" s="262"/>
    </row>
    <row r="195">
      <c r="AB195" s="262"/>
    </row>
    <row r="196">
      <c r="AB196" s="262"/>
    </row>
    <row r="197">
      <c r="AB197" s="262"/>
    </row>
    <row r="198">
      <c r="AB198" s="262"/>
    </row>
    <row r="199">
      <c r="AB199" s="262"/>
    </row>
    <row r="200">
      <c r="AB200" s="262"/>
    </row>
    <row r="201">
      <c r="AB201" s="262"/>
    </row>
    <row r="202">
      <c r="AB202" s="262"/>
    </row>
    <row r="203">
      <c r="AB203" s="262"/>
    </row>
    <row r="204">
      <c r="AB204" s="262"/>
    </row>
    <row r="205">
      <c r="AB205" s="262"/>
    </row>
    <row r="206">
      <c r="AB206" s="262"/>
    </row>
    <row r="207">
      <c r="AB207" s="262"/>
    </row>
    <row r="208">
      <c r="AB208" s="262"/>
    </row>
    <row r="209">
      <c r="AB209" s="262"/>
    </row>
    <row r="210">
      <c r="AB210" s="262"/>
    </row>
    <row r="211">
      <c r="AB211" s="262"/>
    </row>
    <row r="212">
      <c r="AB212" s="262"/>
    </row>
    <row r="213">
      <c r="AB213" s="262"/>
    </row>
    <row r="214">
      <c r="AB214" s="262"/>
    </row>
    <row r="215">
      <c r="AB215" s="262"/>
    </row>
    <row r="216">
      <c r="AB216" s="262"/>
    </row>
    <row r="217">
      <c r="AB217" s="262"/>
    </row>
    <row r="218">
      <c r="AB218" s="262"/>
    </row>
    <row r="219">
      <c r="AB219" s="262"/>
    </row>
    <row r="220">
      <c r="AB220" s="262"/>
    </row>
    <row r="221">
      <c r="AB221" s="262"/>
    </row>
    <row r="222">
      <c r="AB222" s="262"/>
    </row>
    <row r="223">
      <c r="AB223" s="262"/>
    </row>
    <row r="224">
      <c r="AB224" s="262"/>
    </row>
    <row r="225">
      <c r="AB225" s="262"/>
    </row>
    <row r="226">
      <c r="AB226" s="262"/>
    </row>
    <row r="227">
      <c r="AB227" s="262"/>
    </row>
    <row r="228">
      <c r="AB228" s="262"/>
    </row>
    <row r="229">
      <c r="AB229" s="262"/>
    </row>
    <row r="230">
      <c r="AB230" s="262"/>
    </row>
    <row r="231">
      <c r="AB231" s="262"/>
    </row>
    <row r="232">
      <c r="AB232" s="262"/>
    </row>
    <row r="233">
      <c r="AB233" s="262"/>
    </row>
    <row r="234">
      <c r="AB234" s="262"/>
    </row>
    <row r="235">
      <c r="AB235" s="262"/>
    </row>
    <row r="236">
      <c r="AB236" s="262"/>
    </row>
    <row r="237">
      <c r="AB237" s="262"/>
    </row>
    <row r="238">
      <c r="AB238" s="262"/>
    </row>
    <row r="239">
      <c r="AB239" s="262"/>
    </row>
    <row r="240">
      <c r="AB240" s="262"/>
    </row>
    <row r="241">
      <c r="AB241" s="262"/>
    </row>
    <row r="242">
      <c r="AB242" s="262"/>
    </row>
    <row r="243">
      <c r="AB243" s="262"/>
    </row>
    <row r="244">
      <c r="AB244" s="262"/>
    </row>
    <row r="245">
      <c r="AB245" s="262"/>
    </row>
    <row r="246">
      <c r="AB246" s="262"/>
    </row>
    <row r="247">
      <c r="AB247" s="262"/>
    </row>
    <row r="248">
      <c r="AB248" s="262"/>
    </row>
    <row r="249">
      <c r="AB249" s="262"/>
    </row>
    <row r="250">
      <c r="AB250" s="262"/>
    </row>
    <row r="251">
      <c r="AB251" s="262"/>
    </row>
    <row r="252">
      <c r="AB252" s="262"/>
    </row>
    <row r="253">
      <c r="AB253" s="262"/>
    </row>
    <row r="254">
      <c r="AB254" s="262"/>
    </row>
    <row r="255">
      <c r="AB255" s="262"/>
    </row>
    <row r="256">
      <c r="AB256" s="262"/>
    </row>
    <row r="257">
      <c r="AB257" s="262"/>
    </row>
    <row r="258">
      <c r="AB258" s="262"/>
    </row>
    <row r="259">
      <c r="AB259" s="262"/>
    </row>
    <row r="260">
      <c r="AB260" s="262"/>
    </row>
    <row r="261">
      <c r="AB261" s="262"/>
    </row>
    <row r="262">
      <c r="AB262" s="262"/>
    </row>
    <row r="263">
      <c r="AB263" s="262"/>
    </row>
    <row r="264">
      <c r="AB264" s="262"/>
    </row>
    <row r="265">
      <c r="AB265" s="262"/>
    </row>
    <row r="266">
      <c r="AB266" s="262"/>
    </row>
    <row r="267">
      <c r="AB267" s="262"/>
    </row>
    <row r="268">
      <c r="AB268" s="262"/>
    </row>
    <row r="269">
      <c r="AB269" s="262"/>
    </row>
    <row r="270">
      <c r="AB270" s="262"/>
    </row>
    <row r="271">
      <c r="AB271" s="262"/>
    </row>
    <row r="272">
      <c r="AB272" s="262"/>
    </row>
    <row r="273">
      <c r="AB273" s="262"/>
    </row>
    <row r="274">
      <c r="AB274" s="262"/>
    </row>
    <row r="275">
      <c r="AB275" s="262"/>
    </row>
    <row r="276">
      <c r="AB276" s="262"/>
    </row>
    <row r="277">
      <c r="AB277" s="262"/>
    </row>
    <row r="278">
      <c r="AB278" s="262"/>
    </row>
    <row r="279">
      <c r="AB279" s="262"/>
    </row>
    <row r="280">
      <c r="AB280" s="262"/>
    </row>
    <row r="281">
      <c r="AB281" s="262"/>
    </row>
    <row r="282">
      <c r="AB282" s="262"/>
    </row>
    <row r="283">
      <c r="AB283" s="262"/>
    </row>
    <row r="284">
      <c r="AB284" s="262"/>
    </row>
    <row r="285">
      <c r="AB285" s="262"/>
    </row>
    <row r="286">
      <c r="AB286" s="262"/>
    </row>
    <row r="287">
      <c r="AB287" s="262"/>
    </row>
    <row r="288">
      <c r="AB288" s="262"/>
    </row>
    <row r="289">
      <c r="AB289" s="262"/>
    </row>
    <row r="290">
      <c r="AB290" s="262"/>
    </row>
    <row r="291">
      <c r="AB291" s="262"/>
    </row>
    <row r="292">
      <c r="AB292" s="262"/>
    </row>
    <row r="293">
      <c r="AB293" s="262"/>
    </row>
    <row r="294">
      <c r="AB294" s="262"/>
    </row>
    <row r="295">
      <c r="AB295" s="262"/>
    </row>
    <row r="296">
      <c r="AB296" s="262"/>
    </row>
    <row r="297">
      <c r="AB297" s="262"/>
    </row>
    <row r="298">
      <c r="AB298" s="262"/>
    </row>
    <row r="299">
      <c r="AB299" s="262"/>
    </row>
    <row r="300">
      <c r="AB300" s="262"/>
    </row>
    <row r="301">
      <c r="AB301" s="262"/>
    </row>
    <row r="302">
      <c r="AB302" s="262"/>
    </row>
    <row r="303">
      <c r="AB303" s="262"/>
    </row>
    <row r="304">
      <c r="AB304" s="262"/>
    </row>
    <row r="305">
      <c r="AB305" s="262"/>
    </row>
    <row r="306">
      <c r="AB306" s="262"/>
    </row>
    <row r="307">
      <c r="AB307" s="262"/>
    </row>
    <row r="308">
      <c r="AB308" s="262"/>
    </row>
    <row r="309">
      <c r="AB309" s="262"/>
    </row>
    <row r="310">
      <c r="AB310" s="262"/>
    </row>
    <row r="311">
      <c r="AB311" s="262"/>
    </row>
    <row r="312">
      <c r="AB312" s="262"/>
    </row>
    <row r="313">
      <c r="AB313" s="262"/>
    </row>
    <row r="314">
      <c r="AB314" s="262"/>
    </row>
    <row r="315">
      <c r="AB315" s="262"/>
    </row>
    <row r="316">
      <c r="AB316" s="262"/>
    </row>
    <row r="317">
      <c r="AB317" s="262"/>
    </row>
    <row r="318">
      <c r="AB318" s="262"/>
    </row>
    <row r="319">
      <c r="AB319" s="262"/>
    </row>
    <row r="320">
      <c r="AB320" s="262"/>
    </row>
    <row r="321">
      <c r="AB321" s="262"/>
    </row>
    <row r="322">
      <c r="AB322" s="262"/>
    </row>
    <row r="323">
      <c r="AB323" s="262"/>
    </row>
    <row r="324">
      <c r="AB324" s="262"/>
    </row>
    <row r="325">
      <c r="AB325" s="262"/>
    </row>
    <row r="326">
      <c r="AB326" s="262"/>
    </row>
    <row r="327">
      <c r="AB327" s="262"/>
    </row>
    <row r="328">
      <c r="AB328" s="262"/>
    </row>
    <row r="329">
      <c r="AB329" s="262"/>
    </row>
    <row r="330">
      <c r="AB330" s="262"/>
    </row>
    <row r="331">
      <c r="AB331" s="262"/>
    </row>
    <row r="332">
      <c r="AB332" s="262"/>
    </row>
    <row r="333">
      <c r="AB333" s="262"/>
    </row>
    <row r="334">
      <c r="AB334" s="262"/>
    </row>
    <row r="335">
      <c r="AB335" s="262"/>
    </row>
    <row r="336">
      <c r="AB336" s="262"/>
    </row>
    <row r="337">
      <c r="AB337" s="262"/>
    </row>
    <row r="338">
      <c r="AB338" s="262"/>
    </row>
    <row r="339">
      <c r="AB339" s="262"/>
    </row>
    <row r="340">
      <c r="AB340" s="262"/>
    </row>
    <row r="341">
      <c r="AB341" s="262"/>
    </row>
    <row r="342">
      <c r="AB342" s="262"/>
    </row>
    <row r="343">
      <c r="AB343" s="262"/>
    </row>
    <row r="344">
      <c r="AB344" s="262"/>
    </row>
    <row r="345">
      <c r="AB345" s="262"/>
    </row>
    <row r="346">
      <c r="AB346" s="262"/>
    </row>
    <row r="347">
      <c r="AB347" s="262"/>
    </row>
    <row r="348">
      <c r="AB348" s="262"/>
    </row>
    <row r="349">
      <c r="AB349" s="262"/>
    </row>
    <row r="350">
      <c r="AB350" s="262"/>
    </row>
    <row r="351">
      <c r="AB351" s="262"/>
    </row>
    <row r="352">
      <c r="AB352" s="262"/>
    </row>
    <row r="353">
      <c r="AB353" s="262"/>
    </row>
    <row r="354">
      <c r="AB354" s="262"/>
    </row>
    <row r="355">
      <c r="AB355" s="262"/>
    </row>
    <row r="356">
      <c r="AB356" s="262"/>
    </row>
    <row r="357">
      <c r="AB357" s="262"/>
    </row>
    <row r="358">
      <c r="AB358" s="262"/>
    </row>
    <row r="359">
      <c r="AB359" s="262"/>
    </row>
    <row r="360">
      <c r="AB360" s="262"/>
    </row>
    <row r="361">
      <c r="AB361" s="262"/>
    </row>
    <row r="362">
      <c r="AB362" s="262"/>
    </row>
    <row r="363">
      <c r="AB363" s="262"/>
    </row>
    <row r="364">
      <c r="AB364" s="262"/>
    </row>
    <row r="365">
      <c r="AB365" s="262"/>
    </row>
    <row r="366">
      <c r="AB366" s="262"/>
    </row>
    <row r="367">
      <c r="AB367" s="262"/>
    </row>
    <row r="368">
      <c r="AB368" s="262"/>
    </row>
    <row r="369">
      <c r="AB369" s="262"/>
    </row>
    <row r="370">
      <c r="AB370" s="262"/>
    </row>
    <row r="371">
      <c r="AB371" s="262"/>
    </row>
    <row r="372">
      <c r="AB372" s="262"/>
    </row>
    <row r="373">
      <c r="AB373" s="262"/>
    </row>
    <row r="374">
      <c r="AB374" s="262"/>
    </row>
    <row r="375">
      <c r="AB375" s="262"/>
    </row>
    <row r="376">
      <c r="AB376" s="262"/>
    </row>
    <row r="377">
      <c r="AB377" s="262"/>
    </row>
    <row r="378">
      <c r="AB378" s="262"/>
    </row>
    <row r="379">
      <c r="AB379" s="262"/>
    </row>
    <row r="380">
      <c r="AB380" s="262"/>
    </row>
    <row r="381">
      <c r="AB381" s="262"/>
    </row>
    <row r="382">
      <c r="AB382" s="262"/>
    </row>
    <row r="383">
      <c r="AB383" s="262"/>
    </row>
    <row r="384">
      <c r="AB384" s="262"/>
    </row>
    <row r="385">
      <c r="AB385" s="262"/>
    </row>
    <row r="386">
      <c r="AB386" s="262"/>
    </row>
    <row r="387">
      <c r="AB387" s="262"/>
    </row>
    <row r="388">
      <c r="AB388" s="262"/>
    </row>
    <row r="389">
      <c r="AB389" s="262"/>
    </row>
    <row r="390">
      <c r="AB390" s="262"/>
    </row>
    <row r="391">
      <c r="AB391" s="262"/>
    </row>
    <row r="392">
      <c r="AB392" s="262"/>
    </row>
    <row r="393">
      <c r="AB393" s="262"/>
    </row>
    <row r="394">
      <c r="AB394" s="262"/>
    </row>
    <row r="395">
      <c r="AB395" s="262"/>
    </row>
    <row r="396">
      <c r="AB396" s="262"/>
    </row>
    <row r="397">
      <c r="AB397" s="262"/>
    </row>
    <row r="398">
      <c r="AB398" s="262"/>
    </row>
    <row r="399">
      <c r="AB399" s="262"/>
    </row>
    <row r="400">
      <c r="AB400" s="262"/>
    </row>
    <row r="401">
      <c r="AB401" s="262"/>
    </row>
    <row r="402">
      <c r="AB402" s="262"/>
    </row>
    <row r="403">
      <c r="AB403" s="262"/>
    </row>
    <row r="404">
      <c r="AB404" s="262"/>
    </row>
    <row r="405">
      <c r="AB405" s="262"/>
    </row>
    <row r="406">
      <c r="AB406" s="262"/>
    </row>
    <row r="407">
      <c r="AB407" s="262"/>
    </row>
    <row r="408">
      <c r="AB408" s="262"/>
    </row>
    <row r="409">
      <c r="AB409" s="262"/>
    </row>
    <row r="410">
      <c r="AB410" s="262"/>
    </row>
    <row r="411">
      <c r="AB411" s="262"/>
    </row>
    <row r="412">
      <c r="AB412" s="262"/>
    </row>
    <row r="413">
      <c r="AB413" s="262"/>
    </row>
    <row r="414">
      <c r="AB414" s="262"/>
    </row>
    <row r="415">
      <c r="AB415" s="262"/>
    </row>
    <row r="416">
      <c r="AB416" s="262"/>
    </row>
    <row r="417">
      <c r="AB417" s="262"/>
    </row>
    <row r="418">
      <c r="AB418" s="262"/>
    </row>
    <row r="419">
      <c r="AB419" s="262"/>
    </row>
    <row r="420">
      <c r="AB420" s="262"/>
    </row>
    <row r="421">
      <c r="AB421" s="262"/>
    </row>
    <row r="422">
      <c r="AB422" s="262"/>
    </row>
    <row r="423">
      <c r="AB423" s="262"/>
    </row>
    <row r="424">
      <c r="AB424" s="262"/>
    </row>
    <row r="425">
      <c r="AB425" s="262"/>
    </row>
    <row r="426">
      <c r="AB426" s="262"/>
    </row>
    <row r="427">
      <c r="AB427" s="262"/>
    </row>
    <row r="428">
      <c r="AB428" s="262"/>
    </row>
    <row r="429">
      <c r="AB429" s="262"/>
    </row>
    <row r="430">
      <c r="AB430" s="262"/>
    </row>
    <row r="431">
      <c r="AB431" s="262"/>
    </row>
    <row r="432">
      <c r="AB432" s="262"/>
    </row>
    <row r="433">
      <c r="AB433" s="262"/>
    </row>
    <row r="434">
      <c r="AB434" s="262"/>
    </row>
    <row r="435">
      <c r="AB435" s="262"/>
    </row>
    <row r="436">
      <c r="AB436" s="262"/>
    </row>
    <row r="437">
      <c r="AB437" s="262"/>
    </row>
    <row r="438">
      <c r="AB438" s="262"/>
    </row>
    <row r="439">
      <c r="AB439" s="262"/>
    </row>
    <row r="440">
      <c r="AB440" s="262"/>
    </row>
    <row r="441">
      <c r="AB441" s="262"/>
    </row>
    <row r="442">
      <c r="AB442" s="262"/>
    </row>
    <row r="443">
      <c r="AB443" s="262"/>
    </row>
    <row r="444">
      <c r="AB444" s="262"/>
    </row>
    <row r="445">
      <c r="AB445" s="262"/>
    </row>
    <row r="446">
      <c r="AB446" s="262"/>
    </row>
    <row r="447">
      <c r="AB447" s="262"/>
    </row>
    <row r="448">
      <c r="AB448" s="262"/>
    </row>
    <row r="449">
      <c r="AB449" s="262"/>
    </row>
    <row r="450">
      <c r="AB450" s="262"/>
    </row>
    <row r="451">
      <c r="AB451" s="262"/>
    </row>
    <row r="452">
      <c r="AB452" s="262"/>
    </row>
    <row r="453">
      <c r="AB453" s="262"/>
    </row>
    <row r="454">
      <c r="AB454" s="262"/>
    </row>
    <row r="455">
      <c r="AB455" s="262"/>
    </row>
    <row r="456">
      <c r="AB456" s="262"/>
    </row>
    <row r="457">
      <c r="AB457" s="262"/>
    </row>
    <row r="458">
      <c r="AB458" s="262"/>
    </row>
    <row r="459">
      <c r="AB459" s="262"/>
    </row>
    <row r="460">
      <c r="AB460" s="262"/>
    </row>
    <row r="461">
      <c r="AB461" s="262"/>
    </row>
    <row r="462">
      <c r="AB462" s="262"/>
    </row>
    <row r="463">
      <c r="AB463" s="262"/>
    </row>
    <row r="464">
      <c r="AB464" s="262"/>
    </row>
    <row r="465">
      <c r="AB465" s="262"/>
    </row>
    <row r="466">
      <c r="AB466" s="262"/>
    </row>
    <row r="467">
      <c r="AB467" s="262"/>
    </row>
    <row r="468">
      <c r="AB468" s="262"/>
    </row>
    <row r="469">
      <c r="AB469" s="262"/>
    </row>
    <row r="470">
      <c r="AB470" s="262"/>
    </row>
    <row r="471">
      <c r="AB471" s="262"/>
    </row>
    <row r="472">
      <c r="AB472" s="262"/>
    </row>
    <row r="473">
      <c r="AB473" s="262"/>
    </row>
    <row r="474">
      <c r="AB474" s="262"/>
    </row>
    <row r="475">
      <c r="AB475" s="262"/>
    </row>
    <row r="476">
      <c r="AB476" s="262"/>
    </row>
    <row r="477">
      <c r="AB477" s="262"/>
    </row>
    <row r="478">
      <c r="AB478" s="262"/>
    </row>
    <row r="479">
      <c r="AB479" s="262"/>
    </row>
    <row r="480">
      <c r="AB480" s="262"/>
    </row>
    <row r="481">
      <c r="AB481" s="262"/>
    </row>
    <row r="482">
      <c r="AB482" s="262"/>
    </row>
    <row r="483">
      <c r="AB483" s="262"/>
    </row>
    <row r="484">
      <c r="AB484" s="262"/>
    </row>
    <row r="485">
      <c r="AB485" s="262"/>
    </row>
    <row r="486">
      <c r="AB486" s="262"/>
    </row>
    <row r="487">
      <c r="AB487" s="262"/>
    </row>
    <row r="488">
      <c r="AB488" s="262"/>
    </row>
    <row r="489">
      <c r="AB489" s="262"/>
    </row>
    <row r="490">
      <c r="AB490" s="262"/>
    </row>
    <row r="491">
      <c r="AB491" s="262"/>
    </row>
    <row r="492">
      <c r="AB492" s="262"/>
    </row>
    <row r="493">
      <c r="AB493" s="262"/>
    </row>
    <row r="494">
      <c r="AB494" s="262"/>
    </row>
    <row r="495">
      <c r="AB495" s="262"/>
    </row>
    <row r="496">
      <c r="AB496" s="262"/>
    </row>
    <row r="497">
      <c r="AB497" s="262"/>
    </row>
    <row r="498">
      <c r="AB498" s="262"/>
    </row>
    <row r="499">
      <c r="AB499" s="262"/>
    </row>
    <row r="500">
      <c r="AB500" s="262"/>
    </row>
    <row r="501">
      <c r="AB501" s="262"/>
    </row>
    <row r="502">
      <c r="AB502" s="262"/>
    </row>
    <row r="503">
      <c r="AB503" s="262"/>
    </row>
    <row r="504">
      <c r="AB504" s="262"/>
    </row>
    <row r="505">
      <c r="AB505" s="262"/>
    </row>
    <row r="506">
      <c r="AB506" s="262"/>
    </row>
    <row r="507">
      <c r="AB507" s="262"/>
    </row>
    <row r="508">
      <c r="AB508" s="262"/>
    </row>
    <row r="509">
      <c r="AB509" s="262"/>
    </row>
    <row r="510">
      <c r="AB510" s="262"/>
    </row>
    <row r="511">
      <c r="AB511" s="262"/>
    </row>
    <row r="512">
      <c r="AB512" s="262"/>
    </row>
    <row r="513">
      <c r="AB513" s="262"/>
    </row>
    <row r="514">
      <c r="AB514" s="262"/>
    </row>
    <row r="515">
      <c r="AB515" s="262"/>
    </row>
    <row r="516">
      <c r="AB516" s="262"/>
    </row>
    <row r="517">
      <c r="AB517" s="262"/>
    </row>
    <row r="518">
      <c r="AB518" s="262"/>
    </row>
    <row r="519">
      <c r="AB519" s="262"/>
    </row>
    <row r="520">
      <c r="AB520" s="262"/>
    </row>
    <row r="521">
      <c r="AB521" s="262"/>
    </row>
    <row r="522">
      <c r="AB522" s="262"/>
    </row>
    <row r="523">
      <c r="AB523" s="262"/>
    </row>
    <row r="524">
      <c r="AB524" s="262"/>
    </row>
    <row r="525">
      <c r="AB525" s="262"/>
    </row>
    <row r="526">
      <c r="AB526" s="262"/>
    </row>
    <row r="527">
      <c r="AB527" s="262"/>
    </row>
    <row r="528">
      <c r="AB528" s="262"/>
    </row>
    <row r="529">
      <c r="AB529" s="262"/>
    </row>
    <row r="530">
      <c r="AB530" s="262"/>
    </row>
    <row r="531">
      <c r="AB531" s="262"/>
    </row>
    <row r="532">
      <c r="AB532" s="262"/>
    </row>
    <row r="533">
      <c r="AB533" s="262"/>
    </row>
    <row r="534">
      <c r="AB534" s="262"/>
    </row>
    <row r="535">
      <c r="AB535" s="262"/>
    </row>
    <row r="536">
      <c r="AB536" s="262"/>
    </row>
    <row r="537">
      <c r="AB537" s="262"/>
    </row>
    <row r="538">
      <c r="AB538" s="262"/>
    </row>
    <row r="539">
      <c r="AB539" s="262"/>
    </row>
    <row r="540">
      <c r="AB540" s="262"/>
    </row>
    <row r="541">
      <c r="AB541" s="262"/>
    </row>
    <row r="542">
      <c r="AB542" s="262"/>
    </row>
    <row r="543">
      <c r="AB543" s="262"/>
    </row>
    <row r="544">
      <c r="AB544" s="262"/>
    </row>
    <row r="545">
      <c r="AB545" s="262"/>
    </row>
    <row r="546">
      <c r="AB546" s="262"/>
    </row>
    <row r="547">
      <c r="AB547" s="262"/>
    </row>
    <row r="548">
      <c r="AB548" s="262"/>
    </row>
    <row r="549">
      <c r="AB549" s="262"/>
    </row>
    <row r="550">
      <c r="AB550" s="262"/>
    </row>
    <row r="551">
      <c r="AB551" s="262"/>
    </row>
    <row r="552">
      <c r="AB552" s="262"/>
    </row>
    <row r="553">
      <c r="AB553" s="262"/>
    </row>
    <row r="554">
      <c r="AB554" s="262"/>
    </row>
    <row r="555">
      <c r="AB555" s="262"/>
    </row>
    <row r="556">
      <c r="AB556" s="262"/>
    </row>
    <row r="557">
      <c r="AB557" s="262"/>
    </row>
    <row r="558">
      <c r="AB558" s="262"/>
    </row>
    <row r="559">
      <c r="AB559" s="262"/>
    </row>
    <row r="560">
      <c r="AB560" s="262"/>
    </row>
    <row r="561">
      <c r="AB561" s="262"/>
    </row>
    <row r="562">
      <c r="AB562" s="262"/>
    </row>
    <row r="563">
      <c r="AB563" s="262"/>
    </row>
    <row r="564">
      <c r="AB564" s="262"/>
    </row>
    <row r="565">
      <c r="AB565" s="262"/>
    </row>
    <row r="566">
      <c r="AB566" s="262"/>
    </row>
    <row r="567">
      <c r="AB567" s="262"/>
    </row>
    <row r="568">
      <c r="AB568" s="262"/>
    </row>
    <row r="569">
      <c r="AB569" s="262"/>
    </row>
    <row r="570">
      <c r="AB570" s="262"/>
    </row>
    <row r="571">
      <c r="AB571" s="262"/>
    </row>
    <row r="572">
      <c r="AB572" s="262"/>
    </row>
    <row r="573">
      <c r="AB573" s="262"/>
    </row>
    <row r="574">
      <c r="AB574" s="262"/>
    </row>
    <row r="575">
      <c r="AB575" s="262"/>
    </row>
    <row r="576">
      <c r="AB576" s="262"/>
    </row>
    <row r="577">
      <c r="AB577" s="262"/>
    </row>
    <row r="578">
      <c r="AB578" s="262"/>
    </row>
    <row r="579">
      <c r="AB579" s="262"/>
    </row>
    <row r="580">
      <c r="AB580" s="262"/>
    </row>
    <row r="581">
      <c r="AB581" s="262"/>
    </row>
    <row r="582">
      <c r="AB582" s="262"/>
    </row>
    <row r="583">
      <c r="AB583" s="262"/>
    </row>
    <row r="584">
      <c r="AB584" s="262"/>
    </row>
    <row r="585">
      <c r="AB585" s="262"/>
    </row>
    <row r="586">
      <c r="AB586" s="262"/>
    </row>
    <row r="587">
      <c r="AB587" s="262"/>
    </row>
    <row r="588">
      <c r="AB588" s="262"/>
    </row>
    <row r="589">
      <c r="AB589" s="262"/>
    </row>
    <row r="590">
      <c r="AB590" s="262"/>
    </row>
    <row r="591">
      <c r="AB591" s="262"/>
    </row>
    <row r="592">
      <c r="AB592" s="262"/>
    </row>
    <row r="593">
      <c r="AB593" s="262"/>
    </row>
    <row r="594">
      <c r="AB594" s="262"/>
    </row>
    <row r="595">
      <c r="AB595" s="262"/>
    </row>
    <row r="596">
      <c r="AB596" s="262"/>
    </row>
    <row r="597">
      <c r="AB597" s="262"/>
    </row>
    <row r="598">
      <c r="AB598" s="262"/>
    </row>
    <row r="599">
      <c r="AB599" s="262"/>
    </row>
    <row r="600">
      <c r="AB600" s="262"/>
    </row>
    <row r="601">
      <c r="AB601" s="262"/>
    </row>
    <row r="602">
      <c r="AB602" s="262"/>
    </row>
    <row r="603">
      <c r="AB603" s="262"/>
    </row>
    <row r="604">
      <c r="AB604" s="262"/>
    </row>
    <row r="605">
      <c r="AB605" s="262"/>
    </row>
    <row r="606">
      <c r="AB606" s="262"/>
    </row>
    <row r="607">
      <c r="AB607" s="262"/>
    </row>
    <row r="608">
      <c r="AB608" s="262"/>
    </row>
    <row r="609">
      <c r="AB609" s="262"/>
    </row>
    <row r="610">
      <c r="AB610" s="262"/>
    </row>
    <row r="611">
      <c r="AB611" s="262"/>
    </row>
    <row r="612">
      <c r="AB612" s="262"/>
    </row>
    <row r="613">
      <c r="AB613" s="262"/>
    </row>
    <row r="614">
      <c r="AB614" s="262"/>
    </row>
    <row r="615">
      <c r="AB615" s="262"/>
    </row>
    <row r="616">
      <c r="AB616" s="262"/>
    </row>
    <row r="617">
      <c r="AB617" s="262"/>
    </row>
    <row r="618">
      <c r="AB618" s="262"/>
    </row>
    <row r="619">
      <c r="AB619" s="262"/>
    </row>
    <row r="620">
      <c r="AB620" s="262"/>
    </row>
    <row r="621">
      <c r="AB621" s="262"/>
    </row>
    <row r="622">
      <c r="AB622" s="262"/>
    </row>
    <row r="623">
      <c r="AB623" s="262"/>
    </row>
    <row r="624">
      <c r="AB624" s="262"/>
    </row>
    <row r="625">
      <c r="AB625" s="262"/>
    </row>
    <row r="626">
      <c r="AB626" s="262"/>
    </row>
    <row r="627">
      <c r="AB627" s="262"/>
    </row>
    <row r="628">
      <c r="AB628" s="262"/>
    </row>
    <row r="629">
      <c r="AB629" s="262"/>
    </row>
    <row r="630">
      <c r="AB630" s="262"/>
    </row>
    <row r="631">
      <c r="AB631" s="262"/>
    </row>
    <row r="632">
      <c r="AB632" s="262"/>
    </row>
    <row r="633">
      <c r="AB633" s="262"/>
    </row>
    <row r="634">
      <c r="AB634" s="262"/>
    </row>
    <row r="635">
      <c r="AB635" s="262"/>
    </row>
    <row r="636">
      <c r="AB636" s="262"/>
    </row>
    <row r="637">
      <c r="AB637" s="262"/>
    </row>
    <row r="638">
      <c r="AB638" s="262"/>
    </row>
    <row r="639">
      <c r="AB639" s="262"/>
    </row>
    <row r="640">
      <c r="AB640" s="262"/>
    </row>
    <row r="641">
      <c r="AB641" s="262"/>
    </row>
    <row r="642">
      <c r="AB642" s="262"/>
    </row>
    <row r="643">
      <c r="AB643" s="262"/>
    </row>
    <row r="644">
      <c r="AB644" s="262"/>
    </row>
    <row r="645">
      <c r="AB645" s="262"/>
    </row>
    <row r="646">
      <c r="AB646" s="262"/>
    </row>
    <row r="647">
      <c r="AB647" s="262"/>
    </row>
    <row r="648">
      <c r="AB648" s="262"/>
    </row>
    <row r="649">
      <c r="AB649" s="262"/>
    </row>
    <row r="650">
      <c r="AB650" s="262"/>
    </row>
    <row r="651">
      <c r="AB651" s="262"/>
    </row>
    <row r="652">
      <c r="AB652" s="262"/>
    </row>
    <row r="653">
      <c r="AB653" s="262"/>
    </row>
    <row r="654">
      <c r="AB654" s="262"/>
    </row>
    <row r="655">
      <c r="AB655" s="262"/>
    </row>
    <row r="656">
      <c r="AB656" s="262"/>
    </row>
    <row r="657">
      <c r="AB657" s="262"/>
    </row>
    <row r="658">
      <c r="AB658" s="262"/>
    </row>
    <row r="659">
      <c r="AB659" s="262"/>
    </row>
    <row r="660">
      <c r="AB660" s="262"/>
    </row>
    <row r="661">
      <c r="AB661" s="262"/>
    </row>
    <row r="662">
      <c r="AB662" s="262"/>
    </row>
    <row r="663">
      <c r="AB663" s="262"/>
    </row>
    <row r="664">
      <c r="AB664" s="262"/>
    </row>
    <row r="665">
      <c r="AB665" s="262"/>
    </row>
    <row r="666">
      <c r="AB666" s="262"/>
    </row>
    <row r="667">
      <c r="AB667" s="262"/>
    </row>
    <row r="668">
      <c r="AB668" s="262"/>
    </row>
    <row r="669">
      <c r="AB669" s="262"/>
    </row>
    <row r="670">
      <c r="AB670" s="262"/>
    </row>
    <row r="671">
      <c r="AB671" s="262"/>
    </row>
    <row r="672">
      <c r="AB672" s="262"/>
    </row>
    <row r="673">
      <c r="AB673" s="262"/>
    </row>
    <row r="674">
      <c r="AB674" s="262"/>
    </row>
    <row r="675">
      <c r="AB675" s="262"/>
    </row>
    <row r="676">
      <c r="AB676" s="262"/>
    </row>
    <row r="677">
      <c r="AB677" s="262"/>
    </row>
    <row r="678">
      <c r="AB678" s="262"/>
    </row>
    <row r="679">
      <c r="AB679" s="262"/>
    </row>
    <row r="680">
      <c r="AB680" s="262"/>
    </row>
    <row r="681">
      <c r="AB681" s="262"/>
    </row>
    <row r="682">
      <c r="AB682" s="262"/>
    </row>
    <row r="683">
      <c r="AB683" s="262"/>
    </row>
    <row r="684">
      <c r="AB684" s="262"/>
    </row>
    <row r="685">
      <c r="AB685" s="262"/>
    </row>
    <row r="686">
      <c r="AB686" s="262"/>
    </row>
    <row r="687">
      <c r="AB687" s="262"/>
    </row>
    <row r="688">
      <c r="AB688" s="262"/>
    </row>
    <row r="689">
      <c r="AB689" s="262"/>
    </row>
    <row r="690">
      <c r="AB690" s="262"/>
    </row>
    <row r="691">
      <c r="AB691" s="262"/>
    </row>
    <row r="692">
      <c r="AB692" s="262"/>
    </row>
    <row r="693">
      <c r="AB693" s="262"/>
    </row>
    <row r="694">
      <c r="AB694" s="262"/>
    </row>
    <row r="695">
      <c r="AB695" s="262"/>
    </row>
    <row r="696">
      <c r="AB696" s="262"/>
    </row>
    <row r="697">
      <c r="AB697" s="262"/>
    </row>
    <row r="698">
      <c r="AB698" s="262"/>
    </row>
    <row r="699">
      <c r="AB699" s="262"/>
    </row>
    <row r="700">
      <c r="AB700" s="262"/>
    </row>
    <row r="701">
      <c r="AB701" s="262"/>
    </row>
    <row r="702">
      <c r="AB702" s="262"/>
    </row>
    <row r="703">
      <c r="AB703" s="262"/>
    </row>
    <row r="704">
      <c r="AB704" s="262"/>
    </row>
    <row r="705">
      <c r="AB705" s="262"/>
    </row>
    <row r="706">
      <c r="AB706" s="262"/>
    </row>
    <row r="707">
      <c r="AB707" s="262"/>
    </row>
    <row r="708">
      <c r="AB708" s="262"/>
    </row>
    <row r="709">
      <c r="AB709" s="262"/>
    </row>
    <row r="710">
      <c r="AB710" s="262"/>
    </row>
    <row r="711">
      <c r="AB711" s="262"/>
    </row>
    <row r="712">
      <c r="AB712" s="262"/>
    </row>
    <row r="713">
      <c r="AB713" s="262"/>
    </row>
    <row r="714">
      <c r="AB714" s="262"/>
    </row>
    <row r="715">
      <c r="AB715" s="262"/>
    </row>
    <row r="716">
      <c r="AB716" s="262"/>
    </row>
    <row r="717">
      <c r="AB717" s="262"/>
    </row>
    <row r="718">
      <c r="AB718" s="262"/>
    </row>
    <row r="719">
      <c r="AB719" s="262"/>
    </row>
    <row r="720">
      <c r="AB720" s="262"/>
    </row>
    <row r="721">
      <c r="AB721" s="262"/>
    </row>
    <row r="722">
      <c r="AB722" s="262"/>
    </row>
    <row r="723">
      <c r="AB723" s="262"/>
    </row>
    <row r="724">
      <c r="AB724" s="262"/>
    </row>
    <row r="725">
      <c r="AB725" s="262"/>
    </row>
    <row r="726">
      <c r="AB726" s="262"/>
    </row>
    <row r="727">
      <c r="AB727" s="262"/>
    </row>
    <row r="728">
      <c r="AB728" s="262"/>
    </row>
    <row r="729">
      <c r="AB729" s="262"/>
    </row>
    <row r="730">
      <c r="AB730" s="262"/>
    </row>
    <row r="731">
      <c r="AB731" s="262"/>
    </row>
    <row r="732">
      <c r="AB732" s="262"/>
    </row>
    <row r="733">
      <c r="AB733" s="262"/>
    </row>
    <row r="734">
      <c r="AB734" s="262"/>
    </row>
    <row r="735">
      <c r="AB735" s="262"/>
    </row>
    <row r="736">
      <c r="AB736" s="262"/>
    </row>
    <row r="737">
      <c r="AB737" s="262"/>
    </row>
    <row r="738">
      <c r="AB738" s="262"/>
    </row>
    <row r="739">
      <c r="AB739" s="262"/>
    </row>
    <row r="740">
      <c r="AB740" s="262"/>
    </row>
    <row r="741">
      <c r="AB741" s="262"/>
    </row>
    <row r="742">
      <c r="AB742" s="262"/>
    </row>
    <row r="743">
      <c r="AB743" s="262"/>
    </row>
    <row r="744">
      <c r="AB744" s="262"/>
    </row>
    <row r="745">
      <c r="AB745" s="262"/>
    </row>
    <row r="746">
      <c r="AB746" s="262"/>
    </row>
    <row r="747">
      <c r="AB747" s="262"/>
    </row>
    <row r="748">
      <c r="AB748" s="262"/>
    </row>
    <row r="749">
      <c r="AB749" s="262"/>
    </row>
    <row r="750">
      <c r="AB750" s="262"/>
    </row>
    <row r="751">
      <c r="AB751" s="262"/>
    </row>
    <row r="752">
      <c r="AB752" s="262"/>
    </row>
    <row r="753">
      <c r="AB753" s="262"/>
    </row>
    <row r="754">
      <c r="AB754" s="262"/>
    </row>
    <row r="755">
      <c r="AB755" s="262"/>
    </row>
    <row r="756">
      <c r="AB756" s="262"/>
    </row>
    <row r="757">
      <c r="AB757" s="262"/>
    </row>
    <row r="758">
      <c r="AB758" s="262"/>
    </row>
    <row r="759">
      <c r="AB759" s="262"/>
    </row>
    <row r="760">
      <c r="AB760" s="262"/>
    </row>
    <row r="761">
      <c r="AB761" s="262"/>
    </row>
    <row r="762">
      <c r="AB762" s="262"/>
    </row>
    <row r="763">
      <c r="AB763" s="262"/>
    </row>
    <row r="764">
      <c r="AB764" s="262"/>
    </row>
    <row r="765">
      <c r="AB765" s="262"/>
    </row>
    <row r="766">
      <c r="AB766" s="262"/>
    </row>
    <row r="767">
      <c r="AB767" s="262"/>
    </row>
    <row r="768">
      <c r="AB768" s="262"/>
    </row>
    <row r="769">
      <c r="AB769" s="262"/>
    </row>
    <row r="770">
      <c r="AB770" s="262"/>
    </row>
    <row r="771">
      <c r="AB771" s="262"/>
    </row>
    <row r="772">
      <c r="AB772" s="262"/>
    </row>
    <row r="773">
      <c r="AB773" s="262"/>
    </row>
    <row r="774">
      <c r="AB774" s="262"/>
    </row>
    <row r="775">
      <c r="AB775" s="262"/>
    </row>
    <row r="776">
      <c r="AB776" s="262"/>
    </row>
    <row r="777">
      <c r="AB777" s="262"/>
    </row>
    <row r="778">
      <c r="AB778" s="262"/>
    </row>
    <row r="779">
      <c r="AB779" s="262"/>
    </row>
    <row r="780">
      <c r="AB780" s="262"/>
    </row>
    <row r="781">
      <c r="AB781" s="262"/>
    </row>
    <row r="782">
      <c r="AB782" s="262"/>
    </row>
    <row r="783">
      <c r="AB783" s="262"/>
    </row>
    <row r="784">
      <c r="AB784" s="262"/>
    </row>
    <row r="785">
      <c r="AB785" s="262"/>
    </row>
    <row r="786">
      <c r="AB786" s="262"/>
    </row>
    <row r="787">
      <c r="AB787" s="262"/>
    </row>
    <row r="788">
      <c r="AB788" s="262"/>
    </row>
    <row r="789">
      <c r="AB789" s="262"/>
    </row>
    <row r="790">
      <c r="AB790" s="262"/>
    </row>
    <row r="791">
      <c r="AB791" s="262"/>
    </row>
    <row r="792">
      <c r="AB792" s="262"/>
    </row>
    <row r="793">
      <c r="AB793" s="262"/>
    </row>
    <row r="794">
      <c r="AB794" s="262"/>
    </row>
    <row r="795">
      <c r="AB795" s="262"/>
    </row>
    <row r="796">
      <c r="AB796" s="262"/>
    </row>
    <row r="797">
      <c r="AB797" s="262"/>
    </row>
    <row r="798">
      <c r="AB798" s="262"/>
    </row>
    <row r="799">
      <c r="AB799" s="262"/>
    </row>
    <row r="800">
      <c r="AB800" s="262"/>
    </row>
    <row r="801">
      <c r="AB801" s="262"/>
    </row>
    <row r="802">
      <c r="AB802" s="262"/>
    </row>
    <row r="803">
      <c r="AB803" s="262"/>
    </row>
    <row r="804">
      <c r="AB804" s="262"/>
    </row>
    <row r="805">
      <c r="AB805" s="262"/>
    </row>
    <row r="806">
      <c r="AB806" s="262"/>
    </row>
    <row r="807">
      <c r="AB807" s="262"/>
    </row>
    <row r="808">
      <c r="AB808" s="262"/>
    </row>
    <row r="809">
      <c r="AB809" s="262"/>
    </row>
    <row r="810">
      <c r="AB810" s="262"/>
    </row>
    <row r="811">
      <c r="AB811" s="262"/>
    </row>
    <row r="812">
      <c r="AB812" s="262"/>
    </row>
    <row r="813">
      <c r="AB813" s="262"/>
    </row>
    <row r="814">
      <c r="AB814" s="262"/>
    </row>
    <row r="815">
      <c r="AB815" s="262"/>
    </row>
    <row r="816">
      <c r="AB816" s="262"/>
    </row>
    <row r="817">
      <c r="AB817" s="262"/>
    </row>
    <row r="818">
      <c r="AB818" s="262"/>
    </row>
    <row r="819">
      <c r="AB819" s="262"/>
    </row>
    <row r="820">
      <c r="AB820" s="262"/>
    </row>
    <row r="821">
      <c r="AB821" s="262"/>
    </row>
    <row r="822">
      <c r="AB822" s="262"/>
    </row>
    <row r="823">
      <c r="AB823" s="262"/>
    </row>
    <row r="824">
      <c r="AB824" s="262"/>
    </row>
    <row r="825">
      <c r="AB825" s="262"/>
    </row>
    <row r="826">
      <c r="AB826" s="262"/>
    </row>
    <row r="827">
      <c r="AB827" s="262"/>
    </row>
    <row r="828">
      <c r="AB828" s="262"/>
    </row>
    <row r="829">
      <c r="AB829" s="262"/>
    </row>
    <row r="830">
      <c r="AB830" s="262"/>
    </row>
    <row r="831">
      <c r="AB831" s="262"/>
    </row>
    <row r="832">
      <c r="AB832" s="262"/>
    </row>
    <row r="833">
      <c r="AB833" s="262"/>
    </row>
    <row r="834">
      <c r="AB834" s="262"/>
    </row>
    <row r="835">
      <c r="AB835" s="262"/>
    </row>
    <row r="836">
      <c r="AB836" s="262"/>
    </row>
    <row r="837">
      <c r="AB837" s="262"/>
    </row>
    <row r="838">
      <c r="AB838" s="262"/>
    </row>
    <row r="839">
      <c r="AB839" s="262"/>
    </row>
    <row r="840">
      <c r="AB840" s="262"/>
    </row>
    <row r="841">
      <c r="AB841" s="262"/>
    </row>
    <row r="842">
      <c r="AB842" s="262"/>
    </row>
    <row r="843">
      <c r="AB843" s="262"/>
    </row>
    <row r="844">
      <c r="AB844" s="262"/>
    </row>
    <row r="845">
      <c r="AB845" s="262"/>
    </row>
    <row r="846">
      <c r="AB846" s="262"/>
    </row>
    <row r="847">
      <c r="AB847" s="262"/>
    </row>
    <row r="848">
      <c r="AB848" s="262"/>
    </row>
    <row r="849">
      <c r="AB849" s="262"/>
    </row>
    <row r="850">
      <c r="AB850" s="262"/>
    </row>
    <row r="851">
      <c r="AB851" s="262"/>
    </row>
    <row r="852">
      <c r="AB852" s="262"/>
    </row>
    <row r="853">
      <c r="AB853" s="262"/>
    </row>
    <row r="854">
      <c r="AB854" s="262"/>
    </row>
    <row r="855">
      <c r="AB855" s="262"/>
    </row>
    <row r="856">
      <c r="AB856" s="262"/>
    </row>
    <row r="857">
      <c r="AB857" s="262"/>
    </row>
    <row r="858">
      <c r="AB858" s="262"/>
    </row>
    <row r="859">
      <c r="AB859" s="262"/>
    </row>
    <row r="860">
      <c r="AB860" s="262"/>
    </row>
    <row r="861">
      <c r="AB861" s="262"/>
    </row>
    <row r="862">
      <c r="AB862" s="262"/>
    </row>
    <row r="863">
      <c r="AB863" s="262"/>
    </row>
    <row r="864">
      <c r="AB864" s="262"/>
    </row>
    <row r="865">
      <c r="AB865" s="262"/>
    </row>
    <row r="866">
      <c r="AB866" s="262"/>
    </row>
    <row r="867">
      <c r="AB867" s="262"/>
    </row>
    <row r="868">
      <c r="AB868" s="262"/>
    </row>
    <row r="869">
      <c r="AB869" s="262"/>
    </row>
    <row r="870">
      <c r="AB870" s="262"/>
    </row>
    <row r="871">
      <c r="AB871" s="262"/>
    </row>
    <row r="872">
      <c r="AB872" s="262"/>
    </row>
    <row r="873">
      <c r="AB873" s="262"/>
    </row>
    <row r="874">
      <c r="AB874" s="262"/>
    </row>
    <row r="875">
      <c r="AB875" s="262"/>
    </row>
    <row r="876">
      <c r="AB876" s="262"/>
    </row>
    <row r="877">
      <c r="AB877" s="262"/>
    </row>
    <row r="878">
      <c r="AB878" s="262"/>
    </row>
    <row r="879">
      <c r="AB879" s="262"/>
    </row>
    <row r="880">
      <c r="AB880" s="262"/>
    </row>
    <row r="881">
      <c r="AB881" s="262"/>
    </row>
    <row r="882">
      <c r="AB882" s="262"/>
    </row>
    <row r="883">
      <c r="AB883" s="262"/>
    </row>
    <row r="884">
      <c r="AB884" s="262"/>
    </row>
    <row r="885">
      <c r="AB885" s="262"/>
    </row>
    <row r="886">
      <c r="AB886" s="262"/>
    </row>
    <row r="887">
      <c r="AB887" s="262"/>
    </row>
    <row r="888">
      <c r="AB888" s="262"/>
    </row>
    <row r="889">
      <c r="AB889" s="262"/>
    </row>
    <row r="890">
      <c r="AB890" s="262"/>
    </row>
    <row r="891">
      <c r="AB891" s="262"/>
    </row>
    <row r="892">
      <c r="AB892" s="262"/>
    </row>
    <row r="893">
      <c r="AB893" s="262"/>
    </row>
    <row r="894">
      <c r="AB894" s="262"/>
    </row>
    <row r="895">
      <c r="AB895" s="262"/>
    </row>
    <row r="896">
      <c r="AB896" s="262"/>
    </row>
    <row r="897">
      <c r="AB897" s="262"/>
    </row>
    <row r="898">
      <c r="AB898" s="262"/>
    </row>
    <row r="899">
      <c r="AB899" s="262"/>
    </row>
    <row r="900">
      <c r="AB900" s="262"/>
    </row>
    <row r="901">
      <c r="AB901" s="262"/>
    </row>
    <row r="902">
      <c r="AB902" s="262"/>
    </row>
    <row r="903">
      <c r="AB903" s="262"/>
    </row>
    <row r="904">
      <c r="AB904" s="262"/>
    </row>
    <row r="905">
      <c r="AB905" s="262"/>
    </row>
    <row r="906">
      <c r="AB906" s="262"/>
    </row>
    <row r="907">
      <c r="AB907" s="262"/>
    </row>
    <row r="908">
      <c r="AB908" s="262"/>
    </row>
    <row r="909">
      <c r="AB909" s="262"/>
    </row>
    <row r="910">
      <c r="AB910" s="262"/>
    </row>
    <row r="911">
      <c r="AB911" s="262"/>
    </row>
    <row r="912">
      <c r="AB912" s="262"/>
    </row>
    <row r="913">
      <c r="AB913" s="262"/>
    </row>
    <row r="914">
      <c r="AB914" s="262"/>
    </row>
    <row r="915">
      <c r="AB915" s="262"/>
    </row>
    <row r="916">
      <c r="AB916" s="262"/>
    </row>
    <row r="917">
      <c r="AB917" s="262"/>
    </row>
    <row r="918">
      <c r="AB918" s="262"/>
    </row>
    <row r="919">
      <c r="AB919" s="262"/>
    </row>
    <row r="920">
      <c r="AB920" s="262"/>
    </row>
    <row r="921">
      <c r="AB921" s="262"/>
    </row>
    <row r="922">
      <c r="AB922" s="262"/>
    </row>
    <row r="923">
      <c r="AB923" s="262"/>
    </row>
    <row r="924">
      <c r="AB924" s="262"/>
    </row>
    <row r="925">
      <c r="AB925" s="262"/>
    </row>
    <row r="926">
      <c r="AB926" s="262"/>
    </row>
    <row r="927">
      <c r="AB927" s="262"/>
    </row>
    <row r="928">
      <c r="AB928" s="262"/>
    </row>
    <row r="929">
      <c r="AB929" s="262"/>
    </row>
    <row r="930">
      <c r="AB930" s="262"/>
    </row>
    <row r="931">
      <c r="AB931" s="262"/>
    </row>
    <row r="932">
      <c r="AB932" s="262"/>
    </row>
    <row r="933">
      <c r="AB933" s="262"/>
    </row>
    <row r="934">
      <c r="AB934" s="262"/>
    </row>
    <row r="935">
      <c r="AB935" s="262"/>
    </row>
    <row r="936">
      <c r="AB936" s="262"/>
    </row>
    <row r="937">
      <c r="AB937" s="262"/>
    </row>
    <row r="938">
      <c r="AB938" s="262"/>
    </row>
    <row r="939">
      <c r="AB939" s="262"/>
    </row>
    <row r="940">
      <c r="AB940" s="262"/>
    </row>
    <row r="941">
      <c r="AB941" s="262"/>
    </row>
    <row r="942">
      <c r="AB942" s="262"/>
    </row>
    <row r="943">
      <c r="AB943" s="262"/>
    </row>
    <row r="944">
      <c r="AB944" s="262"/>
    </row>
    <row r="945">
      <c r="AB945" s="262"/>
    </row>
    <row r="946">
      <c r="AB946" s="262"/>
    </row>
    <row r="947">
      <c r="AB947" s="262"/>
    </row>
    <row r="948">
      <c r="AB948" s="262"/>
    </row>
    <row r="949">
      <c r="AB949" s="262"/>
    </row>
    <row r="950">
      <c r="AB950" s="262"/>
    </row>
    <row r="951">
      <c r="AB951" s="262"/>
    </row>
    <row r="952">
      <c r="AB952" s="262"/>
    </row>
    <row r="953">
      <c r="AB953" s="262"/>
    </row>
    <row r="954">
      <c r="AB954" s="262"/>
    </row>
    <row r="955">
      <c r="AB955" s="262"/>
    </row>
    <row r="956">
      <c r="AB956" s="262"/>
    </row>
    <row r="957">
      <c r="AB957" s="262"/>
    </row>
    <row r="958">
      <c r="AB958" s="262"/>
    </row>
    <row r="959">
      <c r="AB959" s="262"/>
    </row>
    <row r="960">
      <c r="AB960" s="262"/>
    </row>
    <row r="961">
      <c r="AB961" s="262"/>
    </row>
    <row r="962">
      <c r="AB962" s="262"/>
    </row>
    <row r="963">
      <c r="AB963" s="262"/>
    </row>
    <row r="964">
      <c r="AB964" s="262"/>
    </row>
    <row r="965">
      <c r="AB965" s="262"/>
    </row>
    <row r="966">
      <c r="AB966" s="262"/>
    </row>
    <row r="967">
      <c r="AB967" s="262"/>
    </row>
    <row r="968">
      <c r="AB968" s="262"/>
    </row>
    <row r="969">
      <c r="AB969" s="262"/>
    </row>
    <row r="970">
      <c r="AB970" s="262"/>
    </row>
    <row r="971">
      <c r="AB971" s="262"/>
    </row>
    <row r="972">
      <c r="AB972" s="262"/>
    </row>
    <row r="973">
      <c r="AB973" s="262"/>
    </row>
    <row r="974">
      <c r="AB974" s="262"/>
    </row>
    <row r="975">
      <c r="AB975" s="262"/>
    </row>
    <row r="976">
      <c r="AB976" s="262"/>
    </row>
    <row r="977">
      <c r="AB977" s="262"/>
    </row>
    <row r="978">
      <c r="AB978" s="262"/>
    </row>
    <row r="979">
      <c r="AB979" s="262"/>
    </row>
    <row r="980">
      <c r="AB980" s="262"/>
    </row>
    <row r="981">
      <c r="AB981" s="262"/>
    </row>
    <row r="982">
      <c r="AB982" s="262"/>
    </row>
    <row r="983">
      <c r="AB983" s="262"/>
    </row>
    <row r="984">
      <c r="AB984" s="262"/>
    </row>
    <row r="985">
      <c r="AB985" s="262"/>
    </row>
    <row r="986">
      <c r="AB986" s="262"/>
    </row>
    <row r="987">
      <c r="AB987" s="262"/>
    </row>
    <row r="988">
      <c r="AB988" s="262"/>
    </row>
    <row r="989">
      <c r="AB989" s="262"/>
    </row>
    <row r="990">
      <c r="AB990" s="262"/>
    </row>
    <row r="991">
      <c r="AB991" s="262"/>
    </row>
    <row r="992">
      <c r="AB992" s="262"/>
    </row>
    <row r="993">
      <c r="AB993" s="262"/>
    </row>
    <row r="994">
      <c r="AB994" s="262"/>
    </row>
    <row r="995">
      <c r="AB995" s="262"/>
    </row>
    <row r="996">
      <c r="AB996" s="262"/>
    </row>
    <row r="997">
      <c r="AB997" s="262"/>
    </row>
    <row r="998">
      <c r="AB998" s="262"/>
    </row>
    <row r="999">
      <c r="AB999" s="262"/>
    </row>
    <row r="1000">
      <c r="AB1000" s="262"/>
    </row>
  </sheetData>
  <conditionalFormatting sqref="A1:AK1000">
    <cfRule type="cellIs" dxfId="1" priority="1" operator="lessThan">
      <formula>0</formula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64"/>
      <c r="B1" s="265">
        <v>44953.0</v>
      </c>
      <c r="C1" s="265">
        <v>44958.0</v>
      </c>
      <c r="D1" s="266" t="s">
        <v>517</v>
      </c>
      <c r="E1" s="265">
        <v>44965.0</v>
      </c>
      <c r="F1" s="266" t="s">
        <v>517</v>
      </c>
      <c r="G1" s="265">
        <v>44972.0</v>
      </c>
      <c r="H1" s="266" t="s">
        <v>517</v>
      </c>
      <c r="I1" s="265">
        <v>44979.0</v>
      </c>
      <c r="J1" s="266" t="s">
        <v>517</v>
      </c>
      <c r="K1" s="267" t="s">
        <v>518</v>
      </c>
      <c r="L1" s="266" t="s">
        <v>517</v>
      </c>
    </row>
    <row r="2">
      <c r="A2" s="268" t="s">
        <v>295</v>
      </c>
      <c r="B2" s="269">
        <f>IFERROR(__xludf.DUMMYFUNCTION("index(googlefinance($A2,""price"",B$1),2,2)"),48.51)</f>
        <v>48.51</v>
      </c>
      <c r="C2" s="269">
        <f>IFERROR(__xludf.DUMMYFUNCTION("index(googlefinance($A2,""price"",C$1),2,2)"),48.57)</f>
        <v>48.57</v>
      </c>
      <c r="D2" s="270">
        <f t="shared" ref="D2:D6" si="1">(C2-$B2)/$B2</f>
        <v>0.00123685838</v>
      </c>
      <c r="E2" s="269">
        <f>IFERROR(__xludf.DUMMYFUNCTION("index(googlefinance($A2,""price"",E$1),2,2)"),46.96)</f>
        <v>46.96</v>
      </c>
      <c r="F2" s="270">
        <f t="shared" ref="F2:F6" si="2">(E2-$B2)/$B2</f>
        <v>-0.03195217481</v>
      </c>
      <c r="G2" s="269">
        <f>IFERROR(__xludf.DUMMYFUNCTION("index(googlefinance($A2,""price"",G$1),2,2)"),48.45)</f>
        <v>48.45</v>
      </c>
      <c r="H2" s="270">
        <f t="shared" ref="H2:H6" si="3">(G2-$B2)/$B2</f>
        <v>-0.00123685838</v>
      </c>
      <c r="I2" s="269">
        <f>IFERROR(__xludf.DUMMYFUNCTION("index(googlefinance($A2,""price"",I$1),2,2)"),49.31)</f>
        <v>49.31</v>
      </c>
      <c r="J2" s="270">
        <f t="shared" ref="J2:J6" si="4">(I2-$B2)/$B2</f>
        <v>0.01649144506</v>
      </c>
      <c r="K2" s="269">
        <f>IFERROR(__xludf.DUMMYFUNCTION("(googlefinance($A2,""price""))"),49.51)</f>
        <v>49.51</v>
      </c>
      <c r="L2" s="270">
        <f t="shared" ref="L2:L6" si="5">(K2-$B2)/$B2</f>
        <v>0.02061430633</v>
      </c>
    </row>
    <row r="3">
      <c r="A3" s="268" t="s">
        <v>299</v>
      </c>
      <c r="B3" s="269">
        <f>IFERROR(__xludf.DUMMYFUNCTION("index(googlefinance($A3,""price"",B$1),2,2)"),179.45)</f>
        <v>179.45</v>
      </c>
      <c r="C3" s="269">
        <f>IFERROR(__xludf.DUMMYFUNCTION("index(googlefinance($A3,""price"",C$1),2,2)"),171.36)</f>
        <v>171.36</v>
      </c>
      <c r="D3" s="270">
        <f t="shared" si="1"/>
        <v>-0.0450821956</v>
      </c>
      <c r="E3" s="269">
        <f>IFERROR(__xludf.DUMMYFUNCTION("index(googlefinance($A3,""price"",E$1),2,2)"),170.0)</f>
        <v>170</v>
      </c>
      <c r="F3" s="270">
        <f t="shared" si="2"/>
        <v>-0.05266090833</v>
      </c>
      <c r="G3" s="269">
        <f>IFERROR(__xludf.DUMMYFUNCTION("index(googlefinance($A3,""price"",G$1),2,2)"),169.01)</f>
        <v>169.01</v>
      </c>
      <c r="H3" s="270">
        <f t="shared" si="3"/>
        <v>-0.05817776539</v>
      </c>
      <c r="I3" s="269">
        <f>IFERROR(__xludf.DUMMYFUNCTION("index(googlefinance($A3,""price"",I$1),2,2)"),160.35)</f>
        <v>160.35</v>
      </c>
      <c r="J3" s="270">
        <f t="shared" si="4"/>
        <v>-0.1064363332</v>
      </c>
      <c r="K3" s="269">
        <f>IFERROR(__xludf.DUMMYFUNCTION("(googlefinance($A3,""price""))"),152.33)</f>
        <v>152.33</v>
      </c>
      <c r="L3" s="270">
        <f t="shared" si="5"/>
        <v>-0.151128448</v>
      </c>
    </row>
    <row r="4">
      <c r="A4" s="268" t="s">
        <v>16</v>
      </c>
      <c r="B4" s="269">
        <f>IFERROR(__xludf.DUMMYFUNCTION("index(googlefinance($A4,""price"",B$1),2,2)"),145.93)</f>
        <v>145.93</v>
      </c>
      <c r="C4" s="269">
        <f>IFERROR(__xludf.DUMMYFUNCTION("index(googlefinance($A4,""price"",C$1),2,2)"),145.43)</f>
        <v>145.43</v>
      </c>
      <c r="D4" s="270">
        <f t="shared" si="1"/>
        <v>-0.003426300281</v>
      </c>
      <c r="E4" s="269">
        <f>IFERROR(__xludf.DUMMYFUNCTION("index(googlefinance($A4,""price"",E$1),2,2)"),151.92)</f>
        <v>151.92</v>
      </c>
      <c r="F4" s="270">
        <f t="shared" si="2"/>
        <v>0.04104707737</v>
      </c>
      <c r="G4" s="269">
        <f>IFERROR(__xludf.DUMMYFUNCTION("index(googlefinance($A4,""price"",G$1),2,2)"),155.33)</f>
        <v>155.33</v>
      </c>
      <c r="H4" s="270">
        <f t="shared" si="3"/>
        <v>0.06441444528</v>
      </c>
      <c r="I4" s="269">
        <f>IFERROR(__xludf.DUMMYFUNCTION("index(googlefinance($A4,""price"",I$1),2,2)"),148.91)</f>
        <v>148.91</v>
      </c>
      <c r="J4" s="270">
        <f t="shared" si="4"/>
        <v>0.02042074967</v>
      </c>
      <c r="K4" s="269">
        <f>IFERROR(__xludf.DUMMYFUNCTION("(googlefinance($A4,""price""))"),187.68)</f>
        <v>187.68</v>
      </c>
      <c r="L4" s="270">
        <f t="shared" si="5"/>
        <v>0.2860960735</v>
      </c>
    </row>
    <row r="5">
      <c r="A5" s="268" t="s">
        <v>316</v>
      </c>
      <c r="B5" s="269">
        <f>IFERROR(__xludf.DUMMYFUNCTION("index(googlefinance($A5,""price"",B$1),2,2)"),28.16)</f>
        <v>28.16</v>
      </c>
      <c r="C5" s="269">
        <f>IFERROR(__xludf.DUMMYFUNCTION("index(googlefinance($A5,""price"",C$1),2,2)"),29.07)</f>
        <v>29.07</v>
      </c>
      <c r="D5" s="270">
        <f t="shared" si="1"/>
        <v>0.03231534091</v>
      </c>
      <c r="E5" s="269">
        <f>IFERROR(__xludf.DUMMYFUNCTION("index(googlefinance($A5,""price"",E$1),2,2)"),28.24)</f>
        <v>28.24</v>
      </c>
      <c r="F5" s="270">
        <f t="shared" si="2"/>
        <v>0.002840909091</v>
      </c>
      <c r="G5" s="269">
        <f>IFERROR(__xludf.DUMMYFUNCTION("index(googlefinance($A5,""price"",G$1),2,2)"),28.85)</f>
        <v>28.85</v>
      </c>
      <c r="H5" s="270">
        <f t="shared" si="3"/>
        <v>0.02450284091</v>
      </c>
      <c r="I5" s="269">
        <f>IFERROR(__xludf.DUMMYFUNCTION("index(googlefinance($A5,""price"",I$1),2,2)"),25.47)</f>
        <v>25.47</v>
      </c>
      <c r="J5" s="270">
        <f t="shared" si="4"/>
        <v>-0.09552556818</v>
      </c>
      <c r="K5" s="269">
        <f>IFERROR(__xludf.DUMMYFUNCTION("(googlefinance($A5,""price""))"),42.77)</f>
        <v>42.77</v>
      </c>
      <c r="L5" s="270">
        <f t="shared" si="5"/>
        <v>0.5188210227</v>
      </c>
    </row>
    <row r="6">
      <c r="A6" s="268" t="s">
        <v>338</v>
      </c>
      <c r="B6" s="269">
        <f>IFERROR(__xludf.DUMMYFUNCTION("index(googlefinance($A6,""price"",B$1),2,2)"),105.38)</f>
        <v>105.38</v>
      </c>
      <c r="C6" s="269">
        <f>IFERROR(__xludf.DUMMYFUNCTION("index(googlefinance($A6,""price"",C$1),2,2)"),106.98)</f>
        <v>106.98</v>
      </c>
      <c r="D6" s="270">
        <f t="shared" si="1"/>
        <v>0.01518314671</v>
      </c>
      <c r="E6" s="269">
        <f>IFERROR(__xludf.DUMMYFUNCTION("index(googlefinance($A6,""price"",E$1),2,2)"),106.64)</f>
        <v>106.64</v>
      </c>
      <c r="F6" s="270">
        <f t="shared" si="2"/>
        <v>0.01195672803</v>
      </c>
      <c r="G6" s="269">
        <f>IFERROR(__xludf.DUMMYFUNCTION("index(googlefinance($A6,""price"",G$1),2,2)"),107.68)</f>
        <v>107.68</v>
      </c>
      <c r="H6" s="270">
        <f t="shared" si="3"/>
        <v>0.02182577339</v>
      </c>
      <c r="I6" s="269">
        <f>IFERROR(__xludf.DUMMYFUNCTION("index(googlefinance($A6,""price"",I$1),2,2)"),109.16)</f>
        <v>109.16</v>
      </c>
      <c r="J6" s="270">
        <f t="shared" si="4"/>
        <v>0.0358701841</v>
      </c>
      <c r="K6" s="271">
        <f>IFERROR(__xludf.DUMMYFUNCTION("(googlefinance($A6,""price""))"),126.18)</f>
        <v>126.18</v>
      </c>
      <c r="L6" s="270">
        <f t="shared" si="5"/>
        <v>0.1973809072</v>
      </c>
    </row>
    <row r="7">
      <c r="A7" s="111"/>
      <c r="B7" s="84" t="s">
        <v>17</v>
      </c>
      <c r="C7" s="84" t="s">
        <v>17</v>
      </c>
      <c r="D7" s="93"/>
      <c r="E7" s="84" t="s">
        <v>17</v>
      </c>
      <c r="F7" s="93"/>
      <c r="G7" s="84" t="s">
        <v>17</v>
      </c>
      <c r="H7" s="93"/>
      <c r="I7" s="84" t="s">
        <v>17</v>
      </c>
      <c r="J7" s="93"/>
      <c r="K7" s="84" t="s">
        <v>17</v>
      </c>
      <c r="L7" s="93"/>
    </row>
    <row r="8">
      <c r="A8" s="268" t="s">
        <v>519</v>
      </c>
      <c r="B8" s="264"/>
      <c r="C8" s="264"/>
      <c r="D8" s="270">
        <f>(sum(C2:C6)-sum($B2:$B6))/sum($B2:$B6)</f>
        <v>-0.01186370534</v>
      </c>
      <c r="E8" s="264"/>
      <c r="F8" s="270">
        <f>(sum(E2:E6)-sum($B2:$B6))/sum($B2:$B6)</f>
        <v>-0.007232524683</v>
      </c>
      <c r="G8" s="264"/>
      <c r="H8" s="270">
        <f>(sum(G2:G6)-sum($B2:$B6))/sum($B2:$B6)</f>
        <v>0.003724651676</v>
      </c>
      <c r="I8" s="264"/>
      <c r="J8" s="270">
        <f>(sum(I2:I6)-sum($B2:$B6))/sum($B2:$B6)</f>
        <v>-0.02804327691</v>
      </c>
      <c r="K8" s="264"/>
      <c r="L8" s="270">
        <f>(sum(K2:K6)-sum($B2:$B6))/sum($B2:$B6)</f>
        <v>0.1005853024</v>
      </c>
    </row>
    <row r="9">
      <c r="A9" s="272" t="s">
        <v>520</v>
      </c>
      <c r="B9" s="273"/>
      <c r="C9" s="274"/>
      <c r="D9" s="275">
        <f>average(D2:D6)</f>
        <v>0.00004537002347</v>
      </c>
      <c r="E9" s="274"/>
      <c r="F9" s="275">
        <f>average(F2:F6)</f>
        <v>-0.00575367373</v>
      </c>
      <c r="G9" s="274"/>
      <c r="H9" s="275">
        <f>average(H2:H6)</f>
        <v>0.01026568716</v>
      </c>
      <c r="I9" s="274"/>
      <c r="J9" s="275">
        <f>average(J2:J6)</f>
        <v>-0.02583590452</v>
      </c>
      <c r="K9" s="274"/>
      <c r="L9" s="275">
        <f>average(L2:L6)</f>
        <v>0.1743567723</v>
      </c>
    </row>
    <row r="10">
      <c r="A10" s="83"/>
      <c r="B10" s="94"/>
      <c r="C10" s="94"/>
      <c r="D10" s="276"/>
      <c r="E10" s="94"/>
      <c r="F10" s="276"/>
      <c r="G10" s="94"/>
      <c r="H10" s="276"/>
      <c r="I10" s="94"/>
      <c r="J10" s="276"/>
      <c r="K10" s="94"/>
      <c r="L10" s="276"/>
    </row>
    <row r="11">
      <c r="A11" s="272" t="s">
        <v>521</v>
      </c>
      <c r="B11" s="277">
        <f>IFERROR(__xludf.DUMMYFUNCTION("index(googlefinance($A11,""price"",B$1),2,2)"),33978.08)</f>
        <v>33978.08</v>
      </c>
      <c r="C11" s="277">
        <f>IFERROR(__xludf.DUMMYFUNCTION("index(googlefinance($A11,""price"",C$1),2,2)"),34092.96)</f>
        <v>34092.96</v>
      </c>
      <c r="D11" s="275">
        <f>(C11-$B11)/$B11</f>
        <v>0.003381003282</v>
      </c>
      <c r="E11" s="271">
        <f>IFERROR(__xludf.DUMMYFUNCTION("index(googlefinance($A11,""price"",E$1),2,2)"),33949.01)</f>
        <v>33949.01</v>
      </c>
      <c r="F11" s="275">
        <f t="shared" ref="F11:F12" si="6">(E11-$B11)/$B11</f>
        <v>-0.0008555515791</v>
      </c>
      <c r="G11" s="271">
        <f>IFERROR(__xludf.DUMMYFUNCTION("index(googlefinance($A11,""price"",G$1),2,2)"),34128.05)</f>
        <v>34128.05</v>
      </c>
      <c r="H11" s="275">
        <f t="shared" ref="H11:H12" si="7">(G11-$B11)/$B11</f>
        <v>0.004413727909</v>
      </c>
      <c r="I11" s="271">
        <f>IFERROR(__xludf.DUMMYFUNCTION("index(googlefinance($A11,""price"",I$1),2,2)"),33045.09)</f>
        <v>33045.09</v>
      </c>
      <c r="J11" s="275">
        <f t="shared" ref="J11:J12" si="8">(I11-$B11)/$B11</f>
        <v>-0.02745858506</v>
      </c>
      <c r="K11" s="277">
        <f>IFERROR(__xludf.DUMMYFUNCTION("(googlefinance($A11,""price""))"),38380.12)</f>
        <v>38380.12</v>
      </c>
      <c r="L11" s="275">
        <f t="shared" ref="L11:L12" si="9">(K11-$B11)/$B11</f>
        <v>0.1295552898</v>
      </c>
    </row>
    <row r="12">
      <c r="A12" s="272" t="s">
        <v>522</v>
      </c>
      <c r="B12" s="277">
        <f>IFERROR(__xludf.DUMMYFUNCTION("index(googlefinance($A12,""price"",B$1),2,2)"),4070.56)</f>
        <v>4070.56</v>
      </c>
      <c r="C12" s="277">
        <f>IFERROR(__xludf.DUMMYFUNCTION("index(googlefinance($A12,""price"",C$1),2,2)"),4119.21)</f>
        <v>4119.21</v>
      </c>
      <c r="D12" s="275">
        <f>(C12-B12)/B12</f>
        <v>0.0119516725</v>
      </c>
      <c r="E12" s="271">
        <f>IFERROR(__xludf.DUMMYFUNCTION("index(googlefinance($A12,""price"",E$1),2,2)"),4117.86)</f>
        <v>4117.86</v>
      </c>
      <c r="F12" s="275">
        <f t="shared" si="6"/>
        <v>0.0116200228</v>
      </c>
      <c r="G12" s="271">
        <f>IFERROR(__xludf.DUMMYFUNCTION("index(googlefinance($A12,""price"",G$1),2,2)"),4147.6)</f>
        <v>4147.6</v>
      </c>
      <c r="H12" s="275">
        <f t="shared" si="7"/>
        <v>0.01892614284</v>
      </c>
      <c r="I12" s="271">
        <f>IFERROR(__xludf.DUMMYFUNCTION("index(googlefinance($A12,""price"",I$1),2,2)"),3991.05)</f>
        <v>3991.05</v>
      </c>
      <c r="J12" s="275">
        <f t="shared" si="8"/>
        <v>-0.01953293896</v>
      </c>
      <c r="K12" s="277">
        <f>IFERROR(__xludf.DUMMYFUNCTION("(googlefinance($A12,""price""))"),4942.81)</f>
        <v>4942.81</v>
      </c>
      <c r="L12" s="275">
        <f t="shared" si="9"/>
        <v>0.2142825557</v>
      </c>
    </row>
    <row r="13">
      <c r="A13" s="111"/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</row>
    <row r="14">
      <c r="A14" s="278" t="s">
        <v>523</v>
      </c>
      <c r="B14" s="279"/>
      <c r="C14" s="111"/>
      <c r="D14" s="276">
        <f>D8-D12</f>
        <v>-0.02381537784</v>
      </c>
      <c r="E14" s="111"/>
      <c r="F14" s="276">
        <f>F8-F12</f>
        <v>-0.01885254748</v>
      </c>
      <c r="G14" s="111"/>
      <c r="H14" s="276">
        <f>H8-H12</f>
        <v>-0.01520149116</v>
      </c>
      <c r="I14" s="111"/>
      <c r="J14" s="276">
        <f>J8-J12</f>
        <v>-0.008510337948</v>
      </c>
      <c r="K14" s="111"/>
      <c r="L14" s="276">
        <f>L8-L12</f>
        <v>-0.1136972533</v>
      </c>
    </row>
    <row r="15">
      <c r="A15" s="278" t="s">
        <v>524</v>
      </c>
      <c r="B15" s="279"/>
      <c r="C15" s="111"/>
      <c r="D15" s="276">
        <f>D9-D12</f>
        <v>-0.01190630247</v>
      </c>
      <c r="E15" s="111"/>
      <c r="F15" s="276">
        <f>F9-F12</f>
        <v>-0.01737369653</v>
      </c>
      <c r="G15" s="111"/>
      <c r="H15" s="276">
        <f>H9-H12</f>
        <v>-0.008660455679</v>
      </c>
      <c r="I15" s="111"/>
      <c r="J15" s="276">
        <f>J9-J12</f>
        <v>-0.006302965561</v>
      </c>
      <c r="K15" s="111"/>
      <c r="L15" s="276">
        <f>L9-L12</f>
        <v>-0.03992578338</v>
      </c>
    </row>
    <row r="16">
      <c r="A16" s="278" t="s">
        <v>525</v>
      </c>
      <c r="B16" s="279"/>
      <c r="C16" s="111"/>
      <c r="D16" s="276">
        <f>D9-D11</f>
        <v>-0.003335633259</v>
      </c>
      <c r="E16" s="111"/>
      <c r="F16" s="276">
        <f>F9-F11</f>
        <v>-0.004898122151</v>
      </c>
      <c r="G16" s="111"/>
      <c r="H16" s="276">
        <f>H9-H11</f>
        <v>0.005851959252</v>
      </c>
      <c r="I16" s="111"/>
      <c r="J16" s="276">
        <f>J9-J11</f>
        <v>0.001622680546</v>
      </c>
      <c r="K16" s="111"/>
      <c r="L16" s="276">
        <f>L9-L11</f>
        <v>0.04480148257</v>
      </c>
    </row>
    <row r="20">
      <c r="A20" s="75" t="s">
        <v>526</v>
      </c>
    </row>
    <row r="21">
      <c r="A21" s="280"/>
      <c r="B21" s="281" t="s">
        <v>527</v>
      </c>
      <c r="C21" s="281" t="s">
        <v>528</v>
      </c>
      <c r="D21" s="282">
        <v>44953.0</v>
      </c>
      <c r="E21" s="282">
        <v>44958.0</v>
      </c>
      <c r="F21" s="283" t="s">
        <v>517</v>
      </c>
      <c r="G21" s="284" t="s">
        <v>529</v>
      </c>
      <c r="L21" s="74" t="s">
        <v>530</v>
      </c>
    </row>
    <row r="22">
      <c r="A22" s="285" t="s">
        <v>295</v>
      </c>
      <c r="B22" s="76">
        <v>196.0</v>
      </c>
      <c r="C22" s="262">
        <f>B22/B27</f>
        <v>0.06198608476</v>
      </c>
      <c r="D22" s="286">
        <v>48.51</v>
      </c>
      <c r="E22" s="76">
        <v>47.74</v>
      </c>
      <c r="F22" s="287">
        <f t="shared" ref="F22:F26" si="10">(E22-D22)/D22</f>
        <v>-0.01587301587</v>
      </c>
      <c r="G22" s="288">
        <f t="shared" ref="G22:G26" si="11">F22*C22</f>
        <v>-0.0009839061072</v>
      </c>
      <c r="L22" s="289">
        <f>C22*L2+C23*L3+C24*L4+C25*L5+C26*L6</f>
        <v>0.2251834961</v>
      </c>
    </row>
    <row r="23">
      <c r="A23" s="285" t="s">
        <v>299</v>
      </c>
      <c r="B23" s="76">
        <v>329.0</v>
      </c>
      <c r="C23" s="262">
        <f>B23/B27</f>
        <v>0.1040480708</v>
      </c>
      <c r="D23" s="286">
        <v>179.45</v>
      </c>
      <c r="E23" s="76">
        <v>169.89</v>
      </c>
      <c r="F23" s="287">
        <f t="shared" si="10"/>
        <v>-0.05327389245</v>
      </c>
      <c r="G23" s="288">
        <f t="shared" si="11"/>
        <v>-0.005543045736</v>
      </c>
    </row>
    <row r="24">
      <c r="A24" s="285" t="s">
        <v>16</v>
      </c>
      <c r="B24" s="76">
        <v>2250.0</v>
      </c>
      <c r="C24" s="262">
        <f>B24/B27</f>
        <v>0.7115749526</v>
      </c>
      <c r="D24" s="286">
        <v>145.93</v>
      </c>
      <c r="E24" s="76">
        <v>142.12</v>
      </c>
      <c r="F24" s="287">
        <f t="shared" si="10"/>
        <v>-0.02610840814</v>
      </c>
      <c r="G24" s="288">
        <f t="shared" si="11"/>
        <v>-0.01857808928</v>
      </c>
      <c r="L24" s="75" t="s">
        <v>531</v>
      </c>
    </row>
    <row r="25">
      <c r="A25" s="285" t="s">
        <v>316</v>
      </c>
      <c r="B25" s="76">
        <v>117.0</v>
      </c>
      <c r="C25" s="262">
        <f>B25/B27</f>
        <v>0.03700189753</v>
      </c>
      <c r="D25" s="286">
        <v>28.16</v>
      </c>
      <c r="E25" s="76">
        <v>28.38</v>
      </c>
      <c r="F25" s="287">
        <f t="shared" si="10"/>
        <v>0.0078125</v>
      </c>
      <c r="G25" s="288">
        <f t="shared" si="11"/>
        <v>0.0002890773245</v>
      </c>
      <c r="L25" s="289">
        <f>L22-L12</f>
        <v>0.01090094034</v>
      </c>
    </row>
    <row r="26">
      <c r="A26" s="285" t="s">
        <v>338</v>
      </c>
      <c r="B26" s="76">
        <v>270.0</v>
      </c>
      <c r="C26" s="262">
        <f>B26/B27</f>
        <v>0.08538899431</v>
      </c>
      <c r="D26" s="286">
        <v>105.38</v>
      </c>
      <c r="E26" s="76">
        <v>106.81</v>
      </c>
      <c r="F26" s="287">
        <f t="shared" si="10"/>
        <v>0.01356993737</v>
      </c>
      <c r="G26" s="288">
        <f t="shared" si="11"/>
        <v>0.001158723305</v>
      </c>
    </row>
    <row r="27">
      <c r="A27" s="290"/>
      <c r="B27" s="77">
        <f>SUM(B22:B26)</f>
        <v>3162</v>
      </c>
      <c r="C27" s="76" t="s">
        <v>17</v>
      </c>
      <c r="G27" s="288">
        <f>SUM(G22:G26)</f>
        <v>-0.0236572405</v>
      </c>
      <c r="L27" s="75" t="s">
        <v>532</v>
      </c>
    </row>
    <row r="28">
      <c r="A28" s="290"/>
      <c r="G28" s="291"/>
      <c r="L28" s="289">
        <f>L22-L11</f>
        <v>0.09562820629</v>
      </c>
    </row>
    <row r="29">
      <c r="A29" s="290"/>
      <c r="G29" s="291"/>
    </row>
    <row r="30">
      <c r="A30" s="285" t="s">
        <v>533</v>
      </c>
      <c r="C30" s="292">
        <v>33978.08</v>
      </c>
      <c r="G30" s="291"/>
    </row>
    <row r="31">
      <c r="A31" s="293" t="s">
        <v>534</v>
      </c>
      <c r="B31" s="294"/>
      <c r="C31" s="295">
        <v>4070.56</v>
      </c>
      <c r="D31" s="294"/>
      <c r="E31" s="294"/>
      <c r="F31" s="294"/>
      <c r="G31" s="296"/>
    </row>
    <row r="34">
      <c r="D34" s="297">
        <v>44958.0</v>
      </c>
    </row>
    <row r="35">
      <c r="A35" s="263" t="str">
        <f>IFERROR(__xludf.DUMMYFUNCTION("GOOGLEFINANCE(A23,""price"",D34)"),"Date")</f>
        <v>Date</v>
      </c>
      <c r="B35" s="263" t="str">
        <f>IFERROR(__xludf.DUMMYFUNCTION("""COMPUTED_VALUE"""),"Close")</f>
        <v>Close</v>
      </c>
    </row>
    <row r="36">
      <c r="A36" s="298">
        <f>IFERROR(__xludf.DUMMYFUNCTION("""COMPUTED_VALUE"""),44958.66666666667)</f>
        <v>44958.66667</v>
      </c>
      <c r="B36" s="263">
        <f>IFERROR(__xludf.DUMMYFUNCTION("""COMPUTED_VALUE"""),171.36)</f>
        <v>171.36</v>
      </c>
    </row>
  </sheetData>
  <conditionalFormatting sqref="D14:D16 F14:F16 H14:H16 J14:J16 L14:L16 N14:N15">
    <cfRule type="cellIs" dxfId="2" priority="1" operator="lessThan">
      <formula>0</formula>
    </cfRule>
  </conditionalFormatting>
  <conditionalFormatting sqref="D14:L16 M14:N15">
    <cfRule type="cellIs" dxfId="3" priority="2" operator="greaterThanOrEqual">
      <formula>0</formula>
    </cfRule>
  </conditionalFormatting>
  <drawing r:id="rId1"/>
  <tableParts count="2"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5" max="5" width="17.13"/>
    <col customWidth="1" min="6" max="6" width="14.75"/>
    <col customWidth="1" min="15" max="16" width="14.25"/>
    <col customWidth="1" min="17" max="17" width="24.0"/>
  </cols>
  <sheetData>
    <row r="1">
      <c r="A1" s="116" t="s">
        <v>17</v>
      </c>
      <c r="B1" s="117"/>
      <c r="C1" s="117"/>
      <c r="D1" s="117"/>
      <c r="E1" s="118"/>
      <c r="F1" s="118"/>
      <c r="G1" s="119"/>
      <c r="H1" s="119"/>
      <c r="I1" s="121"/>
      <c r="J1" s="1"/>
      <c r="K1" s="1"/>
      <c r="L1" s="1"/>
      <c r="M1" s="1"/>
      <c r="N1" s="1"/>
      <c r="O1" s="1"/>
      <c r="P1" s="1"/>
      <c r="Q1" s="1"/>
    </row>
    <row r="2">
      <c r="A2" s="233" t="s">
        <v>428</v>
      </c>
      <c r="B2" s="117"/>
      <c r="C2" s="117"/>
      <c r="D2" s="117"/>
      <c r="E2" s="118"/>
      <c r="F2" s="118"/>
      <c r="G2" s="119"/>
      <c r="H2" s="119"/>
      <c r="I2" s="121"/>
      <c r="J2" s="1"/>
      <c r="K2" s="1"/>
      <c r="L2" s="1"/>
      <c r="M2" s="1"/>
      <c r="N2" s="1"/>
      <c r="O2" s="1"/>
      <c r="P2" s="1"/>
      <c r="Q2" s="1"/>
    </row>
    <row r="3">
      <c r="A3" s="233" t="s">
        <v>429</v>
      </c>
      <c r="B3" s="117"/>
      <c r="C3" s="117"/>
      <c r="D3" s="117"/>
      <c r="E3" s="118"/>
      <c r="F3" s="118"/>
      <c r="G3" s="119"/>
      <c r="H3" s="119"/>
      <c r="I3" s="121"/>
      <c r="J3" s="1"/>
      <c r="K3" s="1"/>
      <c r="L3" s="1"/>
      <c r="M3" s="1"/>
      <c r="N3" s="1"/>
      <c r="O3" s="1"/>
      <c r="P3" s="1"/>
      <c r="Q3" s="1"/>
    </row>
    <row r="4">
      <c r="A4" s="234"/>
      <c r="B4" s="235"/>
      <c r="C4" s="235"/>
      <c r="D4" s="235"/>
      <c r="E4" s="236"/>
      <c r="F4" s="236"/>
      <c r="G4" s="1"/>
      <c r="H4" s="1"/>
      <c r="I4" s="121"/>
      <c r="J4" s="1"/>
      <c r="K4" s="1"/>
      <c r="L4" s="1"/>
      <c r="M4" s="1"/>
      <c r="N4" s="1"/>
      <c r="O4" s="1"/>
      <c r="P4" s="1"/>
      <c r="Q4" s="1"/>
    </row>
    <row r="5">
      <c r="A5" s="237"/>
      <c r="B5" s="238" t="s">
        <v>430</v>
      </c>
      <c r="C5" s="239" t="s">
        <v>424</v>
      </c>
      <c r="D5" s="240" t="s">
        <v>425</v>
      </c>
      <c r="G5" s="1"/>
      <c r="H5" s="1"/>
      <c r="I5" s="121"/>
      <c r="J5" s="1"/>
      <c r="K5" s="1"/>
      <c r="L5" s="1"/>
      <c r="M5" s="1"/>
      <c r="N5" s="1"/>
      <c r="O5" s="1"/>
      <c r="P5" s="1"/>
      <c r="Q5" s="1"/>
    </row>
    <row r="6">
      <c r="A6" s="241" t="s">
        <v>431</v>
      </c>
      <c r="B6" s="242" t="s">
        <v>247</v>
      </c>
      <c r="C6" s="243" t="s">
        <v>432</v>
      </c>
      <c r="D6" s="244" t="s">
        <v>239</v>
      </c>
      <c r="G6" s="1"/>
      <c r="H6" s="1"/>
      <c r="I6" s="121"/>
      <c r="J6" s="1"/>
      <c r="K6" s="1"/>
      <c r="L6" s="1"/>
      <c r="M6" s="1"/>
      <c r="N6" s="1"/>
      <c r="O6" s="1"/>
      <c r="P6" s="1"/>
      <c r="Q6" s="1"/>
    </row>
    <row r="7">
      <c r="A7" s="241" t="s">
        <v>433</v>
      </c>
      <c r="B7" s="242" t="s">
        <v>434</v>
      </c>
      <c r="C7" s="243" t="s">
        <v>435</v>
      </c>
      <c r="D7" s="244" t="s">
        <v>436</v>
      </c>
      <c r="G7" s="1"/>
      <c r="H7" s="1"/>
      <c r="I7" s="121"/>
      <c r="J7" s="1"/>
      <c r="K7" s="1"/>
      <c r="L7" s="1"/>
      <c r="M7" s="1"/>
      <c r="N7" s="1"/>
      <c r="O7" s="1"/>
      <c r="P7" s="1"/>
      <c r="Q7" s="1"/>
    </row>
    <row r="8">
      <c r="A8" s="241" t="s">
        <v>437</v>
      </c>
      <c r="B8" s="242" t="s">
        <v>438</v>
      </c>
      <c r="C8" s="243" t="s">
        <v>257</v>
      </c>
      <c r="D8" s="244" t="s">
        <v>439</v>
      </c>
      <c r="G8" s="1"/>
      <c r="H8" s="1"/>
      <c r="I8" s="121"/>
      <c r="J8" s="1"/>
      <c r="K8" s="1"/>
      <c r="L8" s="1"/>
      <c r="M8" s="1"/>
      <c r="N8" s="1"/>
      <c r="O8" s="1"/>
      <c r="P8" s="1"/>
      <c r="Q8" s="1"/>
    </row>
    <row r="9">
      <c r="A9" s="241" t="s">
        <v>440</v>
      </c>
      <c r="B9" s="242" t="s">
        <v>441</v>
      </c>
      <c r="C9" s="243" t="s">
        <v>442</v>
      </c>
      <c r="D9" s="244" t="s">
        <v>443</v>
      </c>
      <c r="G9" s="1"/>
      <c r="H9" s="1"/>
      <c r="I9" s="121"/>
      <c r="J9" s="1"/>
      <c r="K9" s="1"/>
      <c r="L9" s="1"/>
      <c r="M9" s="1"/>
      <c r="N9" s="1"/>
      <c r="O9" s="1"/>
      <c r="P9" s="1"/>
      <c r="Q9" s="1"/>
    </row>
    <row r="10">
      <c r="A10" s="241" t="s">
        <v>444</v>
      </c>
      <c r="B10" s="242" t="s">
        <v>445</v>
      </c>
      <c r="C10" s="243" t="s">
        <v>442</v>
      </c>
      <c r="D10" s="244" t="s">
        <v>443</v>
      </c>
      <c r="G10" s="1"/>
      <c r="H10" s="1"/>
      <c r="I10" s="121"/>
      <c r="J10" s="1"/>
      <c r="K10" s="1"/>
      <c r="L10" s="1"/>
      <c r="M10" s="1"/>
      <c r="N10" s="1"/>
      <c r="O10" s="1"/>
      <c r="P10" s="1"/>
      <c r="Q10" s="1"/>
    </row>
    <row r="11">
      <c r="A11" s="241" t="s">
        <v>72</v>
      </c>
      <c r="B11" s="242" t="s">
        <v>441</v>
      </c>
      <c r="C11" s="243" t="s">
        <v>442</v>
      </c>
      <c r="D11" s="244" t="s">
        <v>443</v>
      </c>
      <c r="G11" s="1"/>
      <c r="H11" s="1"/>
      <c r="I11" s="121"/>
      <c r="J11" s="1"/>
      <c r="K11" s="1"/>
      <c r="L11" s="1"/>
      <c r="M11" s="1"/>
      <c r="N11" s="1"/>
      <c r="O11" s="1"/>
      <c r="P11" s="1"/>
      <c r="Q11" s="1"/>
    </row>
    <row r="12">
      <c r="A12" s="241" t="s">
        <v>446</v>
      </c>
      <c r="B12" s="242" t="s">
        <v>443</v>
      </c>
      <c r="C12" s="243" t="s">
        <v>447</v>
      </c>
      <c r="D12" s="244" t="s">
        <v>448</v>
      </c>
      <c r="G12" s="1"/>
      <c r="H12" s="1"/>
      <c r="I12" s="121"/>
      <c r="J12" s="1"/>
      <c r="K12" s="1"/>
      <c r="L12" s="1"/>
      <c r="M12" s="1"/>
      <c r="N12" s="1"/>
      <c r="O12" s="1"/>
      <c r="P12" s="1"/>
      <c r="Q12" s="1"/>
    </row>
    <row r="13">
      <c r="A13" s="241" t="s">
        <v>449</v>
      </c>
      <c r="B13" s="242" t="s">
        <v>450</v>
      </c>
      <c r="C13" s="243" t="s">
        <v>451</v>
      </c>
      <c r="D13" s="244" t="s">
        <v>452</v>
      </c>
      <c r="G13" s="1"/>
      <c r="H13" s="1"/>
      <c r="I13" s="121"/>
      <c r="J13" s="1"/>
      <c r="K13" s="1"/>
      <c r="L13" s="1"/>
      <c r="M13" s="1"/>
      <c r="N13" s="1"/>
      <c r="O13" s="1"/>
      <c r="P13" s="1"/>
      <c r="Q13" s="1"/>
    </row>
    <row r="14">
      <c r="A14" s="299" t="s">
        <v>453</v>
      </c>
      <c r="B14" s="300" t="s">
        <v>454</v>
      </c>
      <c r="C14" s="301" t="s">
        <v>455</v>
      </c>
      <c r="D14" s="302" t="s">
        <v>456</v>
      </c>
      <c r="G14" s="1"/>
      <c r="H14" s="1"/>
      <c r="I14" s="121"/>
      <c r="J14" s="1"/>
      <c r="K14" s="1"/>
      <c r="L14" s="1"/>
      <c r="M14" s="1"/>
      <c r="N14" s="1"/>
      <c r="O14" s="1"/>
      <c r="P14" s="1"/>
      <c r="Q14" s="1"/>
    </row>
    <row r="15">
      <c r="A15" s="135"/>
      <c r="B15" s="136"/>
      <c r="C15" s="136"/>
      <c r="D15" s="136"/>
      <c r="F15" s="1"/>
      <c r="G15" s="1"/>
      <c r="H15" s="1"/>
      <c r="I15" s="121"/>
      <c r="J15" s="1"/>
      <c r="K15" s="1"/>
      <c r="L15" s="1"/>
      <c r="M15" s="1"/>
      <c r="N15" s="1"/>
      <c r="O15" s="1"/>
      <c r="P15" s="1"/>
      <c r="Q15" s="1"/>
    </row>
    <row r="16">
      <c r="A16" s="137"/>
      <c r="B16" s="137"/>
      <c r="C16" s="137"/>
      <c r="D16" s="138"/>
      <c r="E16" s="139"/>
      <c r="F16" s="140"/>
      <c r="G16" s="141"/>
      <c r="H16" s="245" t="s">
        <v>266</v>
      </c>
      <c r="I16" s="140"/>
      <c r="J16" s="140"/>
      <c r="K16" s="140"/>
      <c r="L16" s="140"/>
      <c r="M16" s="140"/>
      <c r="N16" s="140"/>
      <c r="O16" s="140"/>
      <c r="P16" s="105" t="s">
        <v>457</v>
      </c>
    </row>
    <row r="17">
      <c r="A17" s="78"/>
      <c r="B17" s="78"/>
      <c r="C17" s="78"/>
      <c r="D17" s="111"/>
      <c r="E17" s="115"/>
      <c r="F17" s="104"/>
      <c r="G17" s="104"/>
      <c r="H17" s="104"/>
      <c r="I17" s="104"/>
      <c r="J17" s="143"/>
      <c r="K17" s="104" t="s">
        <v>458</v>
      </c>
      <c r="L17" s="104"/>
      <c r="M17" s="108" t="s">
        <v>459</v>
      </c>
      <c r="N17" s="104"/>
      <c r="O17" s="104"/>
      <c r="P17" s="146" t="s">
        <v>460</v>
      </c>
    </row>
    <row r="18">
      <c r="A18" s="78" t="s">
        <v>59</v>
      </c>
      <c r="B18" s="78" t="s">
        <v>60</v>
      </c>
      <c r="C18" s="78"/>
      <c r="D18" s="111"/>
      <c r="E18" s="99" t="s">
        <v>63</v>
      </c>
      <c r="F18" s="146" t="s">
        <v>64</v>
      </c>
      <c r="G18" s="146" t="s">
        <v>71</v>
      </c>
      <c r="H18" s="248" t="s">
        <v>461</v>
      </c>
      <c r="I18" s="248" t="s">
        <v>462</v>
      </c>
      <c r="J18" s="248" t="s">
        <v>440</v>
      </c>
      <c r="K18" s="248" t="s">
        <v>458</v>
      </c>
      <c r="L18" s="248" t="s">
        <v>72</v>
      </c>
      <c r="M18" s="248" t="s">
        <v>463</v>
      </c>
      <c r="N18" s="248" t="s">
        <v>464</v>
      </c>
      <c r="O18" s="248" t="s">
        <v>465</v>
      </c>
      <c r="P18" s="146" t="s">
        <v>466</v>
      </c>
    </row>
    <row r="19">
      <c r="A19" s="78" t="s">
        <v>273</v>
      </c>
      <c r="B19" s="78" t="s">
        <v>274</v>
      </c>
      <c r="C19" s="78" t="s">
        <v>275</v>
      </c>
      <c r="D19" s="111"/>
      <c r="E19" s="150">
        <f>IFERROR(__xludf.DUMMYFUNCTION("googlefinance(B19,""price"")"),205.94)</f>
        <v>205.94</v>
      </c>
      <c r="F19" s="84" t="s">
        <v>535</v>
      </c>
      <c r="G19" s="84">
        <v>9.97</v>
      </c>
      <c r="H19" s="201">
        <v>0.0133</v>
      </c>
      <c r="I19" s="202">
        <v>17.29</v>
      </c>
      <c r="J19" s="202">
        <v>1.15</v>
      </c>
      <c r="K19" s="199">
        <v>4.73</v>
      </c>
      <c r="L19" s="202">
        <v>1.83</v>
      </c>
      <c r="M19" s="202">
        <v>1.62</v>
      </c>
      <c r="N19" s="303">
        <v>168.63</v>
      </c>
      <c r="O19" s="304">
        <v>0.075</v>
      </c>
      <c r="P19" s="84" t="s">
        <v>536</v>
      </c>
    </row>
    <row r="20">
      <c r="A20" s="156" t="s">
        <v>283</v>
      </c>
      <c r="B20" s="156" t="s">
        <v>279</v>
      </c>
      <c r="C20" s="156" t="s">
        <v>280</v>
      </c>
      <c r="D20" s="111"/>
      <c r="E20" s="150">
        <f>IFERROR(__xludf.DUMMYFUNCTION("googlefinance(B20,""price"")"),321.97)</f>
        <v>321.97</v>
      </c>
      <c r="F20" s="84" t="s">
        <v>537</v>
      </c>
      <c r="G20" s="84">
        <v>12.46</v>
      </c>
      <c r="H20" s="304">
        <v>0.0334</v>
      </c>
      <c r="I20" s="199">
        <v>20.42</v>
      </c>
      <c r="J20" s="199">
        <v>3.61</v>
      </c>
      <c r="K20" s="199">
        <v>37.32</v>
      </c>
      <c r="L20" s="199">
        <v>10.6</v>
      </c>
      <c r="M20" s="202">
        <v>1.7</v>
      </c>
      <c r="N20" s="202">
        <v>270.03</v>
      </c>
      <c r="O20" s="201">
        <v>0.0565</v>
      </c>
      <c r="P20" s="84" t="s">
        <v>538</v>
      </c>
    </row>
    <row r="21">
      <c r="A21" s="78" t="s">
        <v>283</v>
      </c>
      <c r="B21" s="78" t="s">
        <v>16</v>
      </c>
      <c r="C21" s="78" t="s">
        <v>284</v>
      </c>
      <c r="D21" s="111"/>
      <c r="E21" s="150">
        <f>IFERROR(__xludf.DUMMYFUNCTION("googlefinance(B21,""price"")"),187.68)</f>
        <v>187.68</v>
      </c>
      <c r="F21" s="84" t="s">
        <v>539</v>
      </c>
      <c r="G21" s="84">
        <v>6.1</v>
      </c>
      <c r="H21" s="304">
        <v>0.0064</v>
      </c>
      <c r="I21" s="199">
        <v>23.59</v>
      </c>
      <c r="J21" s="199">
        <v>2.7</v>
      </c>
      <c r="K21" s="199">
        <v>45.56</v>
      </c>
      <c r="L21" s="199">
        <v>2.37</v>
      </c>
      <c r="M21" s="303">
        <v>0.9</v>
      </c>
      <c r="N21" s="303">
        <v>171.23</v>
      </c>
      <c r="O21" s="304">
        <v>0.0873</v>
      </c>
      <c r="P21" s="84" t="s">
        <v>540</v>
      </c>
    </row>
    <row r="22">
      <c r="A22" s="156" t="s">
        <v>286</v>
      </c>
      <c r="B22" s="156" t="s">
        <v>287</v>
      </c>
      <c r="C22" s="156" t="s">
        <v>288</v>
      </c>
      <c r="D22" s="111"/>
      <c r="E22" s="150">
        <f>IFERROR(__xludf.DUMMYFUNCTION("googlefinance(B22,""price"")"),206.63)</f>
        <v>206.63</v>
      </c>
      <c r="F22" s="84" t="s">
        <v>541</v>
      </c>
      <c r="G22" s="84">
        <v>-14.27</v>
      </c>
      <c r="H22" s="199" t="s">
        <v>96</v>
      </c>
      <c r="I22" s="305">
        <f>212.73/G22</f>
        <v>-14.90749825</v>
      </c>
      <c r="J22" s="199">
        <v>6.53</v>
      </c>
      <c r="K22" s="84" t="s">
        <v>96</v>
      </c>
      <c r="L22" s="303">
        <v>0.0</v>
      </c>
      <c r="M22" s="199">
        <v>1.2</v>
      </c>
      <c r="N22" s="199">
        <v>212.71</v>
      </c>
      <c r="O22" s="199" t="s">
        <v>96</v>
      </c>
      <c r="P22" s="84" t="s">
        <v>542</v>
      </c>
    </row>
    <row r="23">
      <c r="A23" s="78" t="s">
        <v>48</v>
      </c>
      <c r="B23" s="78" t="s">
        <v>292</v>
      </c>
      <c r="C23" s="78" t="s">
        <v>293</v>
      </c>
      <c r="D23" s="111"/>
      <c r="E23" s="150">
        <f>IFERROR(__xludf.DUMMYFUNCTION("googlefinance(B23,""price"")"),321.4)</f>
        <v>321.4</v>
      </c>
      <c r="F23" s="84" t="s">
        <v>543</v>
      </c>
      <c r="G23" s="84">
        <v>13.74</v>
      </c>
      <c r="H23" s="304">
        <v>0.048</v>
      </c>
      <c r="I23" s="305">
        <f>258.44/13.74</f>
        <v>18.80931587</v>
      </c>
      <c r="J23" s="202">
        <v>1.23</v>
      </c>
      <c r="K23" s="199">
        <v>8.7</v>
      </c>
      <c r="L23" s="199">
        <v>2.34</v>
      </c>
      <c r="M23" s="199">
        <v>1.4</v>
      </c>
      <c r="N23" s="199">
        <v>240.09</v>
      </c>
      <c r="O23" s="303">
        <v>15.35</v>
      </c>
      <c r="P23" s="84" t="s">
        <v>544</v>
      </c>
    </row>
    <row r="24">
      <c r="A24" s="156" t="s">
        <v>48</v>
      </c>
      <c r="B24" s="156" t="s">
        <v>295</v>
      </c>
      <c r="C24" s="156" t="s">
        <v>296</v>
      </c>
      <c r="D24" s="111"/>
      <c r="E24" s="150">
        <f>IFERROR(__xludf.DUMMYFUNCTION("googlefinance(B24,""price"")"),49.51)</f>
        <v>49.51</v>
      </c>
      <c r="F24" s="84" t="s">
        <v>545</v>
      </c>
      <c r="G24" s="84">
        <v>2.76</v>
      </c>
      <c r="H24" s="303">
        <v>3.17</v>
      </c>
      <c r="I24" s="202">
        <v>17.37</v>
      </c>
      <c r="J24" s="199">
        <v>2.56</v>
      </c>
      <c r="K24" s="199">
        <v>4.9</v>
      </c>
      <c r="L24" s="303">
        <v>0.22</v>
      </c>
      <c r="M24" s="202">
        <v>1.5</v>
      </c>
      <c r="N24" s="303">
        <v>54.79</v>
      </c>
      <c r="O24" s="202">
        <v>6.78</v>
      </c>
      <c r="P24" s="84" t="s">
        <v>546</v>
      </c>
      <c r="Q24" s="306">
        <f>E24/N24</f>
        <v>0.9036320496</v>
      </c>
    </row>
    <row r="25">
      <c r="A25" s="78" t="s">
        <v>298</v>
      </c>
      <c r="B25" s="78" t="s">
        <v>299</v>
      </c>
      <c r="C25" s="78" t="s">
        <v>300</v>
      </c>
      <c r="D25" s="111"/>
      <c r="E25" s="150">
        <f>IFERROR(__xludf.DUMMYFUNCTION("googlefinance(B25,""price"")"),152.33)</f>
        <v>152.33</v>
      </c>
      <c r="F25" s="84" t="s">
        <v>547</v>
      </c>
      <c r="G25" s="84">
        <v>17.58</v>
      </c>
      <c r="H25" s="304">
        <v>0.0317</v>
      </c>
      <c r="I25" s="202">
        <v>10.19</v>
      </c>
      <c r="J25" s="303">
        <v>0.69</v>
      </c>
      <c r="K25" s="199">
        <v>2.18</v>
      </c>
      <c r="L25" s="303">
        <v>0.15</v>
      </c>
      <c r="M25" s="199">
        <v>1.4</v>
      </c>
      <c r="N25" s="202">
        <v>194.07</v>
      </c>
      <c r="O25" s="201">
        <v>0.1468</v>
      </c>
      <c r="P25" s="84" t="s">
        <v>548</v>
      </c>
    </row>
    <row r="26">
      <c r="A26" s="156" t="s">
        <v>184</v>
      </c>
      <c r="B26" s="156" t="s">
        <v>302</v>
      </c>
      <c r="C26" s="156" t="s">
        <v>303</v>
      </c>
      <c r="D26" s="111"/>
      <c r="E26" s="150">
        <f>IFERROR(__xludf.DUMMYFUNCTION("googlefinance(B26,""price"")"),383.02)</f>
        <v>383.02</v>
      </c>
      <c r="F26" s="307" t="s">
        <v>549</v>
      </c>
      <c r="G26" s="84">
        <v>30.06</v>
      </c>
      <c r="H26" s="304">
        <v>0.1</v>
      </c>
      <c r="I26" s="303">
        <v>11.59</v>
      </c>
      <c r="J26" s="84" t="s">
        <v>96</v>
      </c>
      <c r="K26" s="202">
        <v>1.13</v>
      </c>
      <c r="L26" s="199">
        <v>8.34</v>
      </c>
      <c r="M26" s="84" t="s">
        <v>96</v>
      </c>
      <c r="N26" s="199">
        <v>391.05</v>
      </c>
      <c r="O26" s="197">
        <v>-0.0169</v>
      </c>
      <c r="P26" s="84" t="s">
        <v>550</v>
      </c>
    </row>
    <row r="27">
      <c r="A27" s="78" t="s">
        <v>184</v>
      </c>
      <c r="B27" s="78" t="s">
        <v>305</v>
      </c>
      <c r="C27" s="78" t="s">
        <v>306</v>
      </c>
      <c r="D27" s="111"/>
      <c r="E27" s="150">
        <f>IFERROR(__xludf.DUMMYFUNCTION("googlefinance(B27,""price"")"),355.14)</f>
        <v>355.14</v>
      </c>
      <c r="F27" s="84" t="s">
        <v>551</v>
      </c>
      <c r="G27" s="84">
        <v>16.59</v>
      </c>
      <c r="H27" s="304">
        <v>0.076</v>
      </c>
      <c r="I27" s="202">
        <v>19.14</v>
      </c>
      <c r="J27" s="199">
        <v>3.87</v>
      </c>
      <c r="K27" s="199">
        <v>250.15</v>
      </c>
      <c r="L27" s="199">
        <v>33.1</v>
      </c>
      <c r="M27" s="202">
        <v>1.4</v>
      </c>
      <c r="N27" s="202">
        <v>341.94</v>
      </c>
      <c r="O27" s="197">
        <v>0.0495</v>
      </c>
      <c r="P27" s="84" t="s">
        <v>552</v>
      </c>
    </row>
    <row r="28">
      <c r="A28" s="156" t="s">
        <v>553</v>
      </c>
      <c r="B28" s="156" t="s">
        <v>310</v>
      </c>
      <c r="C28" s="156" t="s">
        <v>311</v>
      </c>
      <c r="D28" s="111"/>
      <c r="E28" s="150">
        <f>IFERROR(__xludf.DUMMYFUNCTION("googlefinance(B28,""price"")"),193.01)</f>
        <v>193.01</v>
      </c>
      <c r="F28" s="84" t="s">
        <v>554</v>
      </c>
      <c r="G28" s="84">
        <v>7.82</v>
      </c>
      <c r="H28" s="304">
        <v>0.0412</v>
      </c>
      <c r="I28" s="308">
        <f>E28/G28</f>
        <v>24.68158568</v>
      </c>
      <c r="J28" s="199">
        <v>3.37</v>
      </c>
      <c r="K28" s="199">
        <v>7.87</v>
      </c>
      <c r="L28" s="303">
        <v>0.96</v>
      </c>
      <c r="M28" s="202">
        <v>1.2</v>
      </c>
      <c r="N28" s="202">
        <v>218.48</v>
      </c>
      <c r="O28" s="303">
        <v>7.85</v>
      </c>
      <c r="P28" s="84" t="s">
        <v>555</v>
      </c>
    </row>
    <row r="29">
      <c r="A29" s="78" t="s">
        <v>315</v>
      </c>
      <c r="B29" s="78" t="s">
        <v>312</v>
      </c>
      <c r="C29" s="78" t="s">
        <v>313</v>
      </c>
      <c r="D29" s="111"/>
      <c r="E29" s="150">
        <f>IFERROR(__xludf.DUMMYFUNCTION("googlefinance(B29,""price"")"),183.42)</f>
        <v>183.42</v>
      </c>
      <c r="F29" s="84" t="s">
        <v>556</v>
      </c>
      <c r="G29" s="84">
        <v>1.62</v>
      </c>
      <c r="H29" s="304">
        <v>0.0466</v>
      </c>
      <c r="I29" s="199">
        <v>87.34</v>
      </c>
      <c r="J29" s="199">
        <v>10.76</v>
      </c>
      <c r="K29" s="199">
        <v>6.37</v>
      </c>
      <c r="L29" s="199">
        <v>2.53</v>
      </c>
      <c r="M29" s="199">
        <v>1.0</v>
      </c>
      <c r="N29" s="202">
        <v>143.49</v>
      </c>
      <c r="O29" s="197">
        <v>-0.162</v>
      </c>
      <c r="P29" s="84" t="s">
        <v>557</v>
      </c>
    </row>
    <row r="30">
      <c r="A30" s="78" t="s">
        <v>315</v>
      </c>
      <c r="B30" s="78" t="s">
        <v>316</v>
      </c>
      <c r="C30" s="78" t="s">
        <v>317</v>
      </c>
      <c r="D30" s="111"/>
      <c r="E30" s="150">
        <f>IFERROR(__xludf.DUMMYFUNCTION("googlefinance(B30,""price"")"),42.77)</f>
        <v>42.77</v>
      </c>
      <c r="F30" s="84" t="s">
        <v>558</v>
      </c>
      <c r="G30" s="84">
        <v>3.24</v>
      </c>
      <c r="H30" s="304">
        <v>0.0488</v>
      </c>
      <c r="I30" s="303">
        <v>9.23</v>
      </c>
      <c r="J30" s="199">
        <v>2.04</v>
      </c>
      <c r="K30" s="202">
        <v>1.23</v>
      </c>
      <c r="L30" s="303">
        <v>0.4</v>
      </c>
      <c r="M30" s="202">
        <v>1.8</v>
      </c>
      <c r="N30" s="202">
        <v>29.96</v>
      </c>
      <c r="O30" s="304">
        <v>0.181</v>
      </c>
      <c r="P30" s="84" t="s">
        <v>559</v>
      </c>
    </row>
    <row r="31">
      <c r="A31" s="78" t="s">
        <v>319</v>
      </c>
      <c r="B31" s="78" t="s">
        <v>320</v>
      </c>
      <c r="C31" s="78" t="s">
        <v>321</v>
      </c>
      <c r="D31" s="111"/>
      <c r="E31" s="150">
        <f>IFERROR(__xludf.DUMMYFUNCTION("googlefinance(B31,""price"")"),155.8)</f>
        <v>155.8</v>
      </c>
      <c r="F31" s="84" t="s">
        <v>560</v>
      </c>
      <c r="G31" s="84">
        <v>7.18</v>
      </c>
      <c r="H31" s="304">
        <v>0.0452</v>
      </c>
      <c r="I31" s="199">
        <v>25.09</v>
      </c>
      <c r="J31" s="199">
        <v>6.36</v>
      </c>
      <c r="K31" s="199">
        <v>5.93</v>
      </c>
      <c r="L31" s="303">
        <v>0.43</v>
      </c>
      <c r="M31" s="199">
        <v>1.4</v>
      </c>
      <c r="N31" s="202">
        <v>183.58</v>
      </c>
      <c r="O31" s="304">
        <v>0.0369</v>
      </c>
      <c r="P31" s="84" t="s">
        <v>561</v>
      </c>
    </row>
    <row r="32">
      <c r="A32" s="156" t="s">
        <v>20</v>
      </c>
      <c r="B32" s="156" t="s">
        <v>324</v>
      </c>
      <c r="C32" s="156" t="s">
        <v>325</v>
      </c>
      <c r="D32" s="111"/>
      <c r="E32" s="150">
        <f>IFERROR(__xludf.DUMMYFUNCTION("googlefinance(B32,""price"")"),60.04)</f>
        <v>60.04</v>
      </c>
      <c r="F32" s="84" t="s">
        <v>562</v>
      </c>
      <c r="G32" s="84">
        <v>2.28</v>
      </c>
      <c r="H32" s="304">
        <v>0.0289</v>
      </c>
      <c r="I32" s="303">
        <v>26.71</v>
      </c>
      <c r="J32" s="199">
        <v>4.93</v>
      </c>
      <c r="K32" s="199">
        <v>11.56</v>
      </c>
      <c r="L32" s="202">
        <v>1.74</v>
      </c>
      <c r="M32" s="199">
        <v>1.1</v>
      </c>
      <c r="N32" s="303">
        <v>68.17</v>
      </c>
      <c r="O32" s="202">
        <v>5.42</v>
      </c>
      <c r="P32" s="84" t="s">
        <v>563</v>
      </c>
    </row>
    <row r="33">
      <c r="A33" s="78" t="s">
        <v>20</v>
      </c>
      <c r="B33" s="78" t="s">
        <v>327</v>
      </c>
      <c r="C33" s="78" t="s">
        <v>328</v>
      </c>
      <c r="D33" s="111"/>
      <c r="E33" s="150">
        <f>IFERROR(__xludf.DUMMYFUNCTION("googlefinance(B33,""price"")"),174.5)</f>
        <v>174.5</v>
      </c>
      <c r="F33" s="84">
        <v>407.07</v>
      </c>
      <c r="G33" s="84">
        <v>12.09</v>
      </c>
      <c r="H33" s="303">
        <v>2.88</v>
      </c>
      <c r="I33" s="202">
        <v>11.51</v>
      </c>
      <c r="J33" s="303" t="s">
        <v>96</v>
      </c>
      <c r="K33" s="202">
        <v>1.61</v>
      </c>
      <c r="L33" s="202">
        <v>1.08</v>
      </c>
      <c r="M33" s="199" t="s">
        <v>96</v>
      </c>
      <c r="N33" s="303">
        <v>156.92</v>
      </c>
      <c r="O33" s="199">
        <v>-0.99</v>
      </c>
      <c r="P33" s="84" t="s">
        <v>546</v>
      </c>
    </row>
    <row r="34">
      <c r="A34" s="156" t="s">
        <v>331</v>
      </c>
      <c r="B34" s="156" t="s">
        <v>332</v>
      </c>
      <c r="C34" s="156" t="s">
        <v>333</v>
      </c>
      <c r="D34" s="111"/>
      <c r="E34" s="150">
        <f>IFERROR(__xludf.DUMMYFUNCTION("googlefinance(B34,""price"")"),285.97)</f>
        <v>285.97</v>
      </c>
      <c r="F34" s="84" t="s">
        <v>564</v>
      </c>
      <c r="G34" s="84">
        <v>7.93</v>
      </c>
      <c r="H34" s="304">
        <v>0.0226</v>
      </c>
      <c r="I34" s="199">
        <v>34.4</v>
      </c>
      <c r="J34" s="199">
        <v>3.25</v>
      </c>
      <c r="K34" s="199">
        <v>-40.21</v>
      </c>
      <c r="L34" s="303">
        <v>-10.72</v>
      </c>
      <c r="M34" s="202">
        <v>1.65</v>
      </c>
      <c r="N34" s="202">
        <v>291.67</v>
      </c>
      <c r="O34" s="304">
        <v>0.074</v>
      </c>
      <c r="P34" s="84" t="s">
        <v>555</v>
      </c>
    </row>
    <row r="35">
      <c r="A35" s="78" t="s">
        <v>331</v>
      </c>
      <c r="B35" s="78" t="s">
        <v>335</v>
      </c>
      <c r="C35" s="78" t="s">
        <v>336</v>
      </c>
      <c r="D35" s="111"/>
      <c r="E35" s="150">
        <f>IFERROR(__xludf.DUMMYFUNCTION("googlefinance(B35,""price"")"),92.73)</f>
        <v>92.73</v>
      </c>
      <c r="F35" s="84" t="s">
        <v>565</v>
      </c>
      <c r="G35" s="84">
        <v>10.18</v>
      </c>
      <c r="H35" s="304">
        <v>0.0518</v>
      </c>
      <c r="I35" s="202">
        <v>11.16</v>
      </c>
      <c r="J35" s="199">
        <v>3.63</v>
      </c>
      <c r="K35" s="199">
        <v>4.3</v>
      </c>
      <c r="L35" s="303">
        <v>0.95</v>
      </c>
      <c r="M35" s="202">
        <v>1.54</v>
      </c>
      <c r="N35" s="202">
        <v>120.13</v>
      </c>
      <c r="O35" s="197">
        <v>-0.0028</v>
      </c>
      <c r="P35" s="84" t="s">
        <v>566</v>
      </c>
    </row>
    <row r="36">
      <c r="A36" s="156" t="s">
        <v>196</v>
      </c>
      <c r="B36" s="156" t="s">
        <v>338</v>
      </c>
      <c r="C36" s="156" t="s">
        <v>339</v>
      </c>
      <c r="D36" s="111"/>
      <c r="E36" s="150">
        <f>IFERROR(__xludf.DUMMYFUNCTION("googlefinance(B36,""price"")"),126.18)</f>
        <v>126.18</v>
      </c>
      <c r="F36" s="84" t="s">
        <v>567</v>
      </c>
      <c r="G36" s="84">
        <v>6.04</v>
      </c>
      <c r="H36" s="304">
        <v>0.0292</v>
      </c>
      <c r="I36" s="303">
        <v>17.98</v>
      </c>
      <c r="J36" s="303">
        <v>1.54</v>
      </c>
      <c r="K36" s="199">
        <v>6.18</v>
      </c>
      <c r="L36" s="303">
        <v>0.68</v>
      </c>
      <c r="M36" s="303">
        <v>1.5</v>
      </c>
      <c r="N36" s="202">
        <v>116.26</v>
      </c>
      <c r="O36" s="309" t="s">
        <v>17</v>
      </c>
      <c r="P36" s="84" t="s">
        <v>469</v>
      </c>
    </row>
    <row r="37">
      <c r="A37" s="78" t="s">
        <v>28</v>
      </c>
      <c r="B37" s="78" t="s">
        <v>341</v>
      </c>
      <c r="C37" s="78" t="s">
        <v>342</v>
      </c>
      <c r="D37" s="111"/>
      <c r="E37" s="150">
        <f>IFERROR(__xludf.DUMMYFUNCTION("googlefinance(B37,""price"")"),405.65)</f>
        <v>405.65</v>
      </c>
      <c r="F37" s="84" t="s">
        <v>568</v>
      </c>
      <c r="G37" s="84">
        <v>9.28</v>
      </c>
      <c r="H37" s="201">
        <v>0.0113</v>
      </c>
      <c r="I37" s="199">
        <v>25.93</v>
      </c>
      <c r="J37" s="199">
        <v>2.01</v>
      </c>
      <c r="K37" s="199">
        <v>10.34</v>
      </c>
      <c r="L37" s="303">
        <v>0.36</v>
      </c>
      <c r="M37" s="202">
        <v>1.8</v>
      </c>
      <c r="N37" s="303">
        <v>291.6</v>
      </c>
      <c r="O37" s="304">
        <v>0.1288</v>
      </c>
      <c r="P37" s="84" t="s">
        <v>555</v>
      </c>
    </row>
    <row r="38">
      <c r="A38" s="156" t="s">
        <v>347</v>
      </c>
      <c r="B38" s="156" t="s">
        <v>344</v>
      </c>
      <c r="C38" s="156" t="s">
        <v>345</v>
      </c>
      <c r="D38" s="111"/>
      <c r="E38" s="150">
        <f>IFERROR(__xludf.DUMMYFUNCTION("googlefinance(B38,""price"")"),99.68)</f>
        <v>99.68</v>
      </c>
      <c r="F38" s="84" t="s">
        <v>569</v>
      </c>
      <c r="G38" s="84">
        <v>3.54</v>
      </c>
      <c r="H38" s="201">
        <v>0.0136</v>
      </c>
      <c r="I38" s="199">
        <v>35.82</v>
      </c>
      <c r="J38" s="199">
        <v>5.92</v>
      </c>
      <c r="K38" s="199">
        <v>12.94</v>
      </c>
      <c r="L38" s="303">
        <v>0.62</v>
      </c>
      <c r="M38" s="303">
        <v>2.7</v>
      </c>
      <c r="N38" s="202">
        <v>127.55</v>
      </c>
      <c r="O38" s="201">
        <v>0.0677</v>
      </c>
      <c r="P38" s="84" t="s">
        <v>566</v>
      </c>
    </row>
    <row r="39">
      <c r="A39" s="78" t="s">
        <v>347</v>
      </c>
      <c r="B39" s="78" t="s">
        <v>348</v>
      </c>
      <c r="C39" s="78" t="s">
        <v>349</v>
      </c>
      <c r="D39" s="111"/>
      <c r="E39" s="150">
        <f>IFERROR(__xludf.DUMMYFUNCTION("googlefinance(B39,""price"")"),158.21)</f>
        <v>158.21</v>
      </c>
      <c r="F39" s="84" t="s">
        <v>570</v>
      </c>
      <c r="G39" s="84">
        <v>5.69</v>
      </c>
      <c r="H39" s="304">
        <v>0.0258</v>
      </c>
      <c r="I39" s="199">
        <v>24.91</v>
      </c>
      <c r="J39" s="199">
        <v>4.92</v>
      </c>
      <c r="K39" s="199">
        <v>7.69</v>
      </c>
      <c r="L39" s="303">
        <v>0.8</v>
      </c>
      <c r="M39" s="199">
        <v>0.6</v>
      </c>
      <c r="N39" s="202">
        <v>154.71</v>
      </c>
      <c r="O39" s="201">
        <v>0.0507</v>
      </c>
      <c r="P39" s="84" t="s">
        <v>571</v>
      </c>
    </row>
    <row r="40">
      <c r="A40" s="156" t="s">
        <v>351</v>
      </c>
      <c r="B40" s="156" t="s">
        <v>352</v>
      </c>
      <c r="C40" s="156" t="s">
        <v>353</v>
      </c>
      <c r="D40" s="111"/>
      <c r="E40" s="150">
        <f>IFERROR(__xludf.DUMMYFUNCTION("googlefinance(B40,""price"")"),213.08)</f>
        <v>213.08</v>
      </c>
      <c r="F40" s="84" t="s">
        <v>572</v>
      </c>
      <c r="G40" s="84">
        <v>11.77</v>
      </c>
      <c r="H40" s="201">
        <v>0.0192</v>
      </c>
      <c r="I40" s="305">
        <f>16.17</f>
        <v>16.17</v>
      </c>
      <c r="J40" s="202">
        <v>1.53</v>
      </c>
      <c r="K40" s="199">
        <v>2.18</v>
      </c>
      <c r="L40" s="199">
        <v>33.82</v>
      </c>
      <c r="M40" s="199">
        <v>0.33</v>
      </c>
      <c r="N40" s="202">
        <v>196.56</v>
      </c>
      <c r="O40" s="199">
        <v>1.53</v>
      </c>
      <c r="P40" s="84" t="s">
        <v>573</v>
      </c>
    </row>
    <row r="41">
      <c r="A41" s="78" t="s">
        <v>359</v>
      </c>
      <c r="B41" s="78" t="s">
        <v>356</v>
      </c>
      <c r="C41" s="78" t="s">
        <v>357</v>
      </c>
      <c r="D41" s="111"/>
      <c r="E41" s="150">
        <f>IFERROR(__xludf.DUMMYFUNCTION("googlefinance(B41,""price"")"),502.96)</f>
        <v>502.96</v>
      </c>
      <c r="F41" s="84" t="s">
        <v>574</v>
      </c>
      <c r="G41" s="84">
        <v>21.18</v>
      </c>
      <c r="H41" s="201">
        <v>0.0134</v>
      </c>
      <c r="I41" s="308">
        <f t="shared" ref="I41:I42" si="1">E41/G41</f>
        <v>23.74693107</v>
      </c>
      <c r="J41" s="202">
        <v>1.55</v>
      </c>
      <c r="K41" s="199">
        <v>6.17</v>
      </c>
      <c r="L41" s="303">
        <v>0.65</v>
      </c>
      <c r="M41" s="84" t="s">
        <v>96</v>
      </c>
      <c r="N41" s="202">
        <v>598.3</v>
      </c>
      <c r="O41" s="304">
        <v>0.201</v>
      </c>
      <c r="P41" s="84" t="s">
        <v>308</v>
      </c>
    </row>
    <row r="42">
      <c r="A42" s="156" t="s">
        <v>359</v>
      </c>
      <c r="B42" s="156" t="s">
        <v>360</v>
      </c>
      <c r="C42" s="156" t="s">
        <v>361</v>
      </c>
      <c r="D42" s="111"/>
      <c r="E42" s="150">
        <f>IFERROR(__xludf.DUMMYFUNCTION("googlefinance(B42,""price"")"),288.11)</f>
        <v>288.11</v>
      </c>
      <c r="F42" s="84" t="s">
        <v>575</v>
      </c>
      <c r="G42" s="84">
        <v>0.28</v>
      </c>
      <c r="H42" s="84" t="s">
        <v>96</v>
      </c>
      <c r="I42" s="308">
        <f t="shared" si="1"/>
        <v>1028.964286</v>
      </c>
      <c r="J42" s="199">
        <v>32.58</v>
      </c>
      <c r="K42" s="199">
        <v>2.77</v>
      </c>
      <c r="L42" s="303">
        <v>0.18</v>
      </c>
      <c r="M42" s="199">
        <v>1.1</v>
      </c>
      <c r="N42" s="303">
        <v>190.73</v>
      </c>
      <c r="O42" s="304">
        <v>0.263</v>
      </c>
      <c r="P42" s="84" t="s">
        <v>406</v>
      </c>
    </row>
    <row r="43">
      <c r="A43" s="78" t="s">
        <v>365</v>
      </c>
      <c r="B43" s="78" t="s">
        <v>366</v>
      </c>
      <c r="C43" s="78" t="s">
        <v>367</v>
      </c>
      <c r="D43" s="111"/>
      <c r="E43" s="150">
        <f>IFERROR(__xludf.DUMMYFUNCTION("googlefinance(B43,""price"")"),41.38)</f>
        <v>41.38</v>
      </c>
      <c r="F43" s="84" t="s">
        <v>576</v>
      </c>
      <c r="G43" s="84">
        <v>4.6</v>
      </c>
      <c r="H43" s="304">
        <v>0.0648</v>
      </c>
      <c r="I43" s="303">
        <v>8.76</v>
      </c>
      <c r="J43" s="199">
        <v>5.65</v>
      </c>
      <c r="K43" s="202">
        <v>1.93</v>
      </c>
      <c r="L43" s="202">
        <v>1.69</v>
      </c>
      <c r="M43" s="199">
        <v>0.7</v>
      </c>
      <c r="N43" s="303">
        <v>44.67</v>
      </c>
      <c r="O43" s="197">
        <v>0.0155</v>
      </c>
      <c r="P43" s="84" t="s">
        <v>555</v>
      </c>
    </row>
    <row r="44">
      <c r="A44" s="156" t="s">
        <v>373</v>
      </c>
      <c r="B44" s="156" t="s">
        <v>370</v>
      </c>
      <c r="C44" s="156" t="s">
        <v>371</v>
      </c>
      <c r="D44" s="111"/>
      <c r="E44" s="150">
        <f>IFERROR(__xludf.DUMMYFUNCTION("googlefinance(B44,""price"")"),275.58)</f>
        <v>275.58</v>
      </c>
      <c r="F44" s="84" t="s">
        <v>577</v>
      </c>
      <c r="G44" s="84">
        <v>7.0</v>
      </c>
      <c r="H44" s="197">
        <v>0.008</v>
      </c>
      <c r="I44" s="199">
        <v>24.58</v>
      </c>
      <c r="J44" s="310">
        <v>2.15</v>
      </c>
      <c r="K44" s="199">
        <v>14.03</v>
      </c>
      <c r="L44" s="202">
        <v>1.8</v>
      </c>
      <c r="M44" s="199">
        <v>1.4</v>
      </c>
      <c r="N44" s="202">
        <v>253.98</v>
      </c>
      <c r="O44" s="304">
        <v>0.1492</v>
      </c>
      <c r="P44" s="84" t="s">
        <v>578</v>
      </c>
    </row>
    <row r="45">
      <c r="A45" s="78" t="s">
        <v>373</v>
      </c>
      <c r="B45" s="78" t="s">
        <v>374</v>
      </c>
      <c r="C45" s="78" t="s">
        <v>375</v>
      </c>
      <c r="D45" s="111"/>
      <c r="E45" s="150">
        <f>IFERROR(__xludf.DUMMYFUNCTION("googlefinance(B45,""price"")"),22.16)</f>
        <v>22.16</v>
      </c>
      <c r="F45" s="84" t="s">
        <v>579</v>
      </c>
      <c r="G45" s="84">
        <v>-3.43</v>
      </c>
      <c r="H45" s="304">
        <v>0.0526</v>
      </c>
      <c r="I45" s="303">
        <v>7.43</v>
      </c>
      <c r="J45" s="93"/>
      <c r="K45" s="202">
        <v>1.53</v>
      </c>
      <c r="L45" s="202">
        <v>1.92</v>
      </c>
      <c r="M45" s="199">
        <v>0.7</v>
      </c>
      <c r="N45" s="303">
        <v>41.47</v>
      </c>
      <c r="O45" s="201">
        <v>0.023</v>
      </c>
      <c r="P45" s="84" t="s">
        <v>392</v>
      </c>
    </row>
    <row r="46">
      <c r="A46" s="156" t="s">
        <v>46</v>
      </c>
      <c r="B46" s="156" t="s">
        <v>39</v>
      </c>
      <c r="C46" s="156" t="s">
        <v>378</v>
      </c>
      <c r="D46" s="111"/>
      <c r="E46" s="150">
        <f>IFERROR(__xludf.DUMMYFUNCTION("googlefinance(B46,""price"")"),168.66)</f>
        <v>168.66</v>
      </c>
      <c r="F46" s="84" t="s">
        <v>580</v>
      </c>
      <c r="G46" s="84">
        <v>3.25</v>
      </c>
      <c r="H46" s="201">
        <v>0.0157</v>
      </c>
      <c r="I46" s="199">
        <v>43.8</v>
      </c>
      <c r="J46" s="199">
        <v>10.12</v>
      </c>
      <c r="K46" s="199">
        <v>5.34</v>
      </c>
      <c r="L46" s="303">
        <v>0.71</v>
      </c>
      <c r="M46" s="199">
        <v>0.9</v>
      </c>
      <c r="N46" s="303">
        <v>161.18</v>
      </c>
      <c r="O46" s="201">
        <v>0.0434</v>
      </c>
      <c r="P46" s="84" t="s">
        <v>571</v>
      </c>
    </row>
    <row r="47">
      <c r="A47" s="78" t="s">
        <v>383</v>
      </c>
      <c r="B47" s="78" t="s">
        <v>380</v>
      </c>
      <c r="C47" s="78" t="s">
        <v>381</v>
      </c>
      <c r="D47" s="111"/>
      <c r="E47" s="150">
        <f>IFERROR(__xludf.DUMMYFUNCTION("googlefinance(B47,""price"")"),96.65)</f>
        <v>96.65</v>
      </c>
      <c r="F47" s="84" t="s">
        <v>581</v>
      </c>
      <c r="G47" s="84">
        <v>1.78</v>
      </c>
      <c r="H47" s="197">
        <v>0.0</v>
      </c>
      <c r="I47" s="311">
        <f t="shared" ref="I47:I48" si="2">E47/G47</f>
        <v>54.29775281</v>
      </c>
      <c r="J47" s="199">
        <v>2.54</v>
      </c>
      <c r="K47" s="199">
        <v>2.11</v>
      </c>
      <c r="L47" s="303">
        <v>0.46</v>
      </c>
      <c r="M47" s="199">
        <v>1.0</v>
      </c>
      <c r="N47" s="202">
        <v>124.86</v>
      </c>
      <c r="O47" s="303">
        <v>23.61</v>
      </c>
      <c r="P47" s="84" t="s">
        <v>582</v>
      </c>
    </row>
    <row r="48">
      <c r="A48" s="156" t="s">
        <v>383</v>
      </c>
      <c r="B48" s="156" t="s">
        <v>384</v>
      </c>
      <c r="C48" s="156" t="s">
        <v>385</v>
      </c>
      <c r="D48" s="111"/>
      <c r="E48" s="150">
        <f>IFERROR(__xludf.DUMMYFUNCTION("googlefinance(B48,""price"")"),53.16)</f>
        <v>53.16</v>
      </c>
      <c r="F48" s="84" t="s">
        <v>583</v>
      </c>
      <c r="G48" s="84">
        <v>7.76</v>
      </c>
      <c r="H48" s="304">
        <v>0.0482</v>
      </c>
      <c r="I48" s="312">
        <f t="shared" si="2"/>
        <v>6.850515464</v>
      </c>
      <c r="J48" s="202">
        <v>1.47</v>
      </c>
      <c r="K48" s="199">
        <v>2.29</v>
      </c>
      <c r="L48" s="303">
        <v>0.69</v>
      </c>
      <c r="M48" s="202">
        <v>1.61</v>
      </c>
      <c r="N48" s="199">
        <v>53.91</v>
      </c>
      <c r="O48" s="199">
        <v>-14.35</v>
      </c>
      <c r="P48" s="84" t="s">
        <v>555</v>
      </c>
    </row>
    <row r="50">
      <c r="D50" s="74" t="s">
        <v>584</v>
      </c>
      <c r="E50" s="313">
        <f>SUM(E19:E48)</f>
        <v>5823.32</v>
      </c>
      <c r="G50" s="314">
        <f>E50/F54</f>
        <v>38380.11569</v>
      </c>
      <c r="H50" s="62" t="s">
        <v>585</v>
      </c>
    </row>
    <row r="52">
      <c r="D52" s="62" t="s">
        <v>521</v>
      </c>
      <c r="E52" s="314">
        <f>IFERROR(__xludf.DUMMYFUNCTION("googlefinance(D52,""price"")"),38380.12)</f>
        <v>38380.12</v>
      </c>
      <c r="F52" s="62" t="s">
        <v>586</v>
      </c>
    </row>
    <row r="54">
      <c r="E54" s="74" t="s">
        <v>587</v>
      </c>
      <c r="F54" s="315">
        <v>0.15172752595384</v>
      </c>
    </row>
  </sheetData>
  <drawing r:id="rId1"/>
</worksheet>
</file>