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alue stock" sheetId="1" r:id="rId4"/>
    <sheet state="visible" name="Dividend Stock" sheetId="2" r:id="rId5"/>
    <sheet state="visible" name="Summary" sheetId="3" r:id="rId6"/>
  </sheets>
  <definedNames/>
  <calcPr/>
</workbook>
</file>

<file path=xl/sharedStrings.xml><?xml version="1.0" encoding="utf-8"?>
<sst xmlns="http://schemas.openxmlformats.org/spreadsheetml/2006/main" count="176" uniqueCount="44">
  <si>
    <t>CTRA</t>
  </si>
  <si>
    <t>Date</t>
  </si>
  <si>
    <t>Price</t>
  </si>
  <si>
    <t>Return</t>
  </si>
  <si>
    <t>SU</t>
  </si>
  <si>
    <t>TX</t>
  </si>
  <si>
    <t>KT</t>
  </si>
  <si>
    <t>POST</t>
  </si>
  <si>
    <t>DLA</t>
  </si>
  <si>
    <t>KEN</t>
  </si>
  <si>
    <t>CODX</t>
  </si>
  <si>
    <t>UNM</t>
  </si>
  <si>
    <t>JNJ</t>
  </si>
  <si>
    <t>ASTL</t>
  </si>
  <si>
    <t>CVCO</t>
  </si>
  <si>
    <t>MFIN</t>
  </si>
  <si>
    <t>SACH</t>
  </si>
  <si>
    <t>LSEA</t>
  </si>
  <si>
    <t>CHGG</t>
  </si>
  <si>
    <t>DAC</t>
  </si>
  <si>
    <t>AVT</t>
  </si>
  <si>
    <t>CMLS</t>
  </si>
  <si>
    <t>ASYS</t>
  </si>
  <si>
    <t>.INX</t>
  </si>
  <si>
    <t>Average Weekly Return</t>
  </si>
  <si>
    <t>MCD</t>
  </si>
  <si>
    <t>NEP</t>
  </si>
  <si>
    <t>XOM</t>
  </si>
  <si>
    <t>DELL</t>
  </si>
  <si>
    <t>CVS</t>
  </si>
  <si>
    <t>PANL</t>
  </si>
  <si>
    <t>CPLP</t>
  </si>
  <si>
    <t>DVN</t>
  </si>
  <si>
    <t>HAS</t>
  </si>
  <si>
    <t>PEP</t>
  </si>
  <si>
    <t>AFL</t>
  </si>
  <si>
    <t>MED</t>
  </si>
  <si>
    <t>SB</t>
  </si>
  <si>
    <t>IX</t>
  </si>
  <si>
    <t>VZ</t>
  </si>
  <si>
    <t>CAT</t>
  </si>
  <si>
    <t>KO</t>
  </si>
  <si>
    <t>JPM</t>
  </si>
  <si>
    <t>Average return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</si>
</sst>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color theme="1"/>
      <name val="Arial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1">
    <border/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readingOrder="0"/>
    </xf>
    <xf borderId="0" fillId="2" fontId="2" numFmtId="0" xfId="0" applyAlignment="1" applyFill="1" applyFont="1">
      <alignment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 readingOrder="0"/>
    </xf>
    <xf borderId="0" fillId="0" fontId="1" numFmtId="0" xfId="0" applyFont="1"/>
    <xf borderId="0" fillId="0" fontId="1" numFmtId="10" xfId="0" applyFont="1" applyNumberFormat="1"/>
    <xf borderId="0" fillId="0" fontId="1" numFmtId="4" xfId="0" applyFont="1" applyNumberFormat="1"/>
    <xf borderId="0" fillId="0" fontId="2" numFmtId="0" xfId="0" applyFont="1"/>
    <xf borderId="0" fillId="2" fontId="3" numFmtId="0" xfId="0" applyAlignment="1" applyFont="1">
      <alignment readingOrder="0" vertical="bottom"/>
    </xf>
    <xf borderId="0" fillId="0" fontId="4" numFmtId="0" xfId="0" applyAlignment="1" applyFont="1">
      <alignment vertical="bottom"/>
    </xf>
    <xf borderId="0" fillId="0" fontId="4" numFmtId="164" xfId="0" applyAlignment="1" applyFont="1" applyNumberFormat="1">
      <alignment horizontal="right" vertical="bottom"/>
    </xf>
    <xf borderId="0" fillId="0" fontId="4" numFmtId="0" xfId="0" applyAlignment="1" applyFont="1">
      <alignment horizontal="center" vertical="bottom"/>
    </xf>
    <xf borderId="0" fillId="0" fontId="4" numFmtId="0" xfId="0" applyAlignment="1" applyFont="1">
      <alignment horizontal="right" vertical="bottom"/>
    </xf>
    <xf borderId="0" fillId="0" fontId="4" numFmtId="10" xfId="0" applyAlignment="1" applyFont="1" applyNumberFormat="1">
      <alignment horizontal="right" vertical="bottom"/>
    </xf>
    <xf borderId="0" fillId="0" fontId="4" numFmtId="10" xfId="0" applyAlignment="1" applyFont="1" applyNumberFormat="1">
      <alignment horizontal="center" vertical="bottom"/>
    </xf>
    <xf borderId="0" fillId="3" fontId="1" numFmtId="0" xfId="0" applyAlignment="1" applyFill="1" applyFont="1">
      <alignment readingOrder="0"/>
    </xf>
    <xf borderId="0" fillId="3" fontId="1" numFmtId="0" xfId="0" applyFont="1"/>
    <xf borderId="0" fillId="3" fontId="4" numFmtId="164" xfId="0" applyAlignment="1" applyFont="1" applyNumberFormat="1">
      <alignment horizontal="right" vertical="bottom"/>
    </xf>
    <xf borderId="0" fillId="3" fontId="1" numFmtId="10" xfId="0" applyFont="1" applyNumberFormat="1"/>
    <xf borderId="0" fillId="4" fontId="1" numFmtId="10" xfId="0" applyFill="1" applyFont="1" applyNumberFormat="1"/>
    <xf borderId="0" fillId="5" fontId="2" numFmtId="0" xfId="0" applyAlignment="1" applyFill="1" applyFont="1">
      <alignment readingOrder="0"/>
    </xf>
    <xf borderId="0" fillId="4" fontId="1" numFmtId="0" xfId="0" applyFont="1"/>
    <xf borderId="0" fillId="4" fontId="1" numFmtId="0" xfId="0" applyAlignment="1" applyFont="1">
      <alignment horizontal="center" readingOrder="0"/>
    </xf>
    <xf borderId="0" fillId="5" fontId="3" numFmtId="0" xfId="0" applyAlignment="1" applyFont="1">
      <alignment readingOrder="0" vertical="bottom"/>
    </xf>
    <xf borderId="0" fillId="4" fontId="4" numFmtId="0" xfId="0" applyAlignment="1" applyFont="1">
      <alignment vertical="bottom"/>
    </xf>
    <xf borderId="0" fillId="4" fontId="4" numFmtId="0" xfId="0" applyAlignment="1" applyFont="1">
      <alignment horizontal="center" vertical="bottom"/>
    </xf>
    <xf borderId="0" fillId="4" fontId="4" numFmtId="0" xfId="0" applyAlignment="1" applyFont="1">
      <alignment horizontal="right" vertical="bottom"/>
    </xf>
    <xf borderId="0" fillId="4" fontId="4" numFmtId="10" xfId="0" applyAlignment="1" applyFont="1" applyNumberFormat="1">
      <alignment horizontal="right" vertical="bottom"/>
    </xf>
    <xf borderId="0" fillId="3" fontId="4" numFmtId="0" xfId="0" applyAlignment="1" applyFont="1">
      <alignment readingOrder="0" vertical="bottom"/>
    </xf>
    <xf borderId="0" fillId="3" fontId="4" numFmtId="0" xfId="0" applyAlignment="1" applyFont="1">
      <alignment vertical="bottom"/>
    </xf>
    <xf borderId="0" fillId="3" fontId="4" numFmtId="164" xfId="0" applyAlignment="1" applyFont="1" applyNumberFormat="1">
      <alignment vertical="bottom"/>
    </xf>
    <xf borderId="0" fillId="3" fontId="4" numFmtId="0" xfId="0" applyAlignment="1" applyFont="1">
      <alignment horizontal="right" vertical="bottom"/>
    </xf>
    <xf borderId="0" fillId="4" fontId="3" numFmtId="0" xfId="0" applyAlignment="1" applyFont="1">
      <alignment vertical="bottom"/>
    </xf>
    <xf borderId="0" fillId="4" fontId="4" numFmtId="164" xfId="0" applyAlignment="1" applyFont="1" applyNumberFormat="1">
      <alignment horizontal="right" vertical="bottom"/>
    </xf>
    <xf borderId="0" fillId="4" fontId="4" numFmtId="10" xfId="0" applyAlignment="1" applyFont="1" applyNumberFormat="1">
      <alignment horizontal="center" vertical="bottom"/>
    </xf>
    <xf borderId="0" fillId="4" fontId="4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Arial black"/>
              </a:defRPr>
            </a:pPr>
            <a:r>
              <a:rPr b="1" i="0">
                <a:solidFill>
                  <a:srgbClr val="000000"/>
                </a:solidFill>
                <a:latin typeface="Arial black"/>
              </a:rPr>
              <a:t>Weekly Returns (Value Stock)</a:t>
            </a:r>
          </a:p>
        </c:rich>
      </c:tx>
      <c:overlay val="0"/>
    </c:title>
    <c:plotArea>
      <c:layout/>
      <c:lineChart>
        <c:ser>
          <c:idx val="0"/>
          <c:order val="0"/>
          <c:tx>
            <c:v>Class Average</c:v>
          </c:tx>
          <c:spPr>
            <a:ln cmpd="sng">
              <a:solidFill>
                <a:srgbClr val="00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'Value stock'!$C$109:$O$109</c:f>
            </c:strRef>
          </c:cat>
          <c:val>
            <c:numRef>
              <c:f>'Value stock'!$C$110:$O$110</c:f>
              <c:numCache/>
            </c:numRef>
          </c:val>
          <c:smooth val="0"/>
        </c:ser>
        <c:ser>
          <c:idx val="1"/>
          <c:order val="1"/>
          <c:tx>
            <c:v>CTRA</c:v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'Value stock'!$C$109:$O$109</c:f>
            </c:strRef>
          </c:cat>
          <c:val>
            <c:numRef>
              <c:f>'Value stock'!$C$111:$O$111</c:f>
              <c:numCache/>
            </c:numRef>
          </c:val>
          <c:smooth val="0"/>
        </c:ser>
        <c:ser>
          <c:idx val="2"/>
          <c:order val="2"/>
          <c:tx>
            <c:v>S&amp;P 500</c:v>
          </c:tx>
          <c:spPr>
            <a:ln cmpd="sng">
              <a:solidFill>
                <a:srgbClr val="FF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'Value stock'!$C$109:$O$109</c:f>
            </c:strRef>
          </c:cat>
          <c:val>
            <c:numRef>
              <c:f>'Value stock'!$C$112:$O$112</c:f>
              <c:numCache/>
            </c:numRef>
          </c:val>
          <c:smooth val="0"/>
        </c:ser>
        <c:axId val="1800466721"/>
        <c:axId val="701800673"/>
      </c:lineChart>
      <c:catAx>
        <c:axId val="180046672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Date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01800673"/>
      </c:catAx>
      <c:valAx>
        <c:axId val="70180067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Return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0046672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Arial black"/>
              </a:defRPr>
            </a:pPr>
            <a:r>
              <a:rPr b="1" i="0">
                <a:solidFill>
                  <a:srgbClr val="000000"/>
                </a:solidFill>
                <a:latin typeface="Arial black"/>
              </a:rPr>
              <a:t>Weekly Returns (Dividend Stock)</a:t>
            </a:r>
          </a:p>
        </c:rich>
      </c:tx>
      <c:overlay val="0"/>
    </c:title>
    <c:plotArea>
      <c:layout/>
      <c:lineChart>
        <c:ser>
          <c:idx val="0"/>
          <c:order val="0"/>
          <c:tx>
            <c:v>Class Average</c:v>
          </c:tx>
          <c:spPr>
            <a:ln cmpd="sng">
              <a:solidFill>
                <a:srgbClr val="00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'Dividend Stock'!$C$109:$O$109</c:f>
            </c:strRef>
          </c:cat>
          <c:val>
            <c:numRef>
              <c:f>'Dividend Stock'!$C$110:$O$110</c:f>
              <c:numCache/>
            </c:numRef>
          </c:val>
          <c:smooth val="0"/>
        </c:ser>
        <c:ser>
          <c:idx val="1"/>
          <c:order val="1"/>
          <c:tx>
            <c:v>DELL</c:v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'Dividend Stock'!$C$109:$O$109</c:f>
            </c:strRef>
          </c:cat>
          <c:val>
            <c:numRef>
              <c:f>'Dividend Stock'!$C$111:$O$111</c:f>
              <c:numCache/>
            </c:numRef>
          </c:val>
          <c:smooth val="0"/>
        </c:ser>
        <c:ser>
          <c:idx val="2"/>
          <c:order val="2"/>
          <c:tx>
            <c:v>S&amp;P 500</c:v>
          </c:tx>
          <c:spPr>
            <a:ln cmpd="sng">
              <a:solidFill>
                <a:srgbClr val="FF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'Dividend Stock'!$C$109:$O$109</c:f>
            </c:strRef>
          </c:cat>
          <c:val>
            <c:numRef>
              <c:f>'Dividend Stock'!$C$112:$O$112</c:f>
              <c:numCache/>
            </c:numRef>
          </c:val>
          <c:smooth val="0"/>
        </c:ser>
        <c:axId val="851487293"/>
        <c:axId val="1286008277"/>
      </c:lineChart>
      <c:catAx>
        <c:axId val="8514872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Date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86008277"/>
      </c:catAx>
      <c:valAx>
        <c:axId val="128600827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Return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51487293"/>
      </c:valAx>
    </c:plotArea>
    <c:legend>
      <c:legendPos val="r"/>
      <c:legendEntry>
        <c:idx val="1"/>
        <c:txPr>
          <a:bodyPr/>
          <a:lstStyle/>
          <a:p>
            <a:pPr lvl="0">
              <a:defRPr>
                <a:latin typeface="+mn-lt"/>
              </a:defRPr>
            </a:pPr>
          </a:p>
        </c:txPr>
      </c:legendEntry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Arial black"/>
              </a:defRPr>
            </a:pPr>
            <a:r>
              <a:rPr b="1" i="0">
                <a:solidFill>
                  <a:srgbClr val="000000"/>
                </a:solidFill>
                <a:latin typeface="Arial black"/>
              </a:rPr>
              <a:t>Weekly Returns (Value Stock)</a:t>
            </a:r>
          </a:p>
        </c:rich>
      </c:tx>
      <c:overlay val="0"/>
    </c:title>
    <c:plotArea>
      <c:layout/>
      <c:lineChart>
        <c:ser>
          <c:idx val="0"/>
          <c:order val="0"/>
          <c:tx>
            <c:v>Class Average</c:v>
          </c:tx>
          <c:spPr>
            <a:ln cmpd="sng">
              <a:solidFill>
                <a:srgbClr val="00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'Value stock'!$C$109:$O$109</c:f>
            </c:strRef>
          </c:cat>
          <c:val>
            <c:numRef>
              <c:f>'Value stock'!$C$110:$O$110</c:f>
              <c:numCache/>
            </c:numRef>
          </c:val>
          <c:smooth val="0"/>
        </c:ser>
        <c:ser>
          <c:idx val="1"/>
          <c:order val="1"/>
          <c:tx>
            <c:v>TX</c:v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'Value stock'!$C$109:$O$109</c:f>
            </c:strRef>
          </c:cat>
          <c:val>
            <c:numRef>
              <c:f>'Value stock'!$C$111:$O$111</c:f>
              <c:numCache/>
            </c:numRef>
          </c:val>
          <c:smooth val="0"/>
        </c:ser>
        <c:ser>
          <c:idx val="2"/>
          <c:order val="2"/>
          <c:tx>
            <c:v>S&amp;P 500</c:v>
          </c:tx>
          <c:spPr>
            <a:ln cmpd="sng">
              <a:solidFill>
                <a:srgbClr val="FF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'Value stock'!$C$109:$O$109</c:f>
            </c:strRef>
          </c:cat>
          <c:val>
            <c:numRef>
              <c:f>'Value stock'!$C$112:$O$112</c:f>
              <c:numCache/>
            </c:numRef>
          </c:val>
          <c:smooth val="0"/>
        </c:ser>
        <c:axId val="1863964098"/>
        <c:axId val="1010956167"/>
      </c:lineChart>
      <c:catAx>
        <c:axId val="186396409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Date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10956167"/>
      </c:catAx>
      <c:valAx>
        <c:axId val="101095616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Return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63964098"/>
      </c:valAx>
    </c:plotArea>
    <c:legend>
      <c:legendPos val="r"/>
      <c:layout>
        <c:manualLayout>
          <c:xMode val="edge"/>
          <c:yMode val="edge"/>
          <c:x val="0.27177408854166674"/>
          <c:y val="0.1372416891284816"/>
        </c:manualLayout>
      </c:layout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Arial black"/>
              </a:defRPr>
            </a:pPr>
            <a:r>
              <a:rPr b="1" i="0">
                <a:solidFill>
                  <a:srgbClr val="000000"/>
                </a:solidFill>
                <a:latin typeface="Arial black"/>
              </a:rPr>
              <a:t>Weekly Returns (Dividend Stock)</a:t>
            </a:r>
          </a:p>
        </c:rich>
      </c:tx>
      <c:overlay val="0"/>
    </c:title>
    <c:plotArea>
      <c:layout/>
      <c:lineChart>
        <c:ser>
          <c:idx val="0"/>
          <c:order val="0"/>
          <c:tx>
            <c:v>Class Average</c:v>
          </c:tx>
          <c:spPr>
            <a:ln cmpd="sng">
              <a:solidFill>
                <a:srgbClr val="00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'Dividend Stock'!$C$109:$O$109</c:f>
            </c:strRef>
          </c:cat>
          <c:val>
            <c:numRef>
              <c:f>'Dividend Stock'!$C$110:$O$110</c:f>
              <c:numCache/>
            </c:numRef>
          </c:val>
          <c:smooth val="0"/>
        </c:ser>
        <c:ser>
          <c:idx val="1"/>
          <c:order val="1"/>
          <c:tx>
            <c:v>DELL</c:v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'Dividend Stock'!$C$109:$O$109</c:f>
            </c:strRef>
          </c:cat>
          <c:val>
            <c:numRef>
              <c:f>'Dividend Stock'!$C$111:$O$111</c:f>
              <c:numCache/>
            </c:numRef>
          </c:val>
          <c:smooth val="0"/>
        </c:ser>
        <c:ser>
          <c:idx val="2"/>
          <c:order val="2"/>
          <c:tx>
            <c:v>S&amp;P 500</c:v>
          </c:tx>
          <c:spPr>
            <a:ln cmpd="sng">
              <a:solidFill>
                <a:srgbClr val="FF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'Dividend Stock'!$C$109:$O$109</c:f>
            </c:strRef>
          </c:cat>
          <c:val>
            <c:numRef>
              <c:f>'Dividend Stock'!$C$112:$O$112</c:f>
              <c:numCache/>
            </c:numRef>
          </c:val>
          <c:smooth val="0"/>
        </c:ser>
        <c:axId val="934140017"/>
        <c:axId val="1874533160"/>
      </c:lineChart>
      <c:catAx>
        <c:axId val="93414001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Date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74533160"/>
      </c:catAx>
      <c:valAx>
        <c:axId val="187453316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Return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34140017"/>
      </c:valAx>
    </c:plotArea>
    <c:legend>
      <c:legendPos val="r"/>
      <c:legendEntry>
        <c:idx val="1"/>
        <c:txPr>
          <a:bodyPr/>
          <a:lstStyle/>
          <a:p>
            <a:pPr lvl="0">
              <a:defRPr>
                <a:latin typeface="+mn-lt"/>
              </a:defRPr>
            </a:pPr>
          </a:p>
        </c:txPr>
      </c:legendEntry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76200</xdr:colOff>
      <xdr:row>112</xdr:row>
      <xdr:rowOff>180975</xdr:rowOff>
    </xdr:from>
    <xdr:ext cx="5715000" cy="35337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112</xdr:row>
      <xdr:rowOff>180975</xdr:rowOff>
    </xdr:from>
    <xdr:ext cx="5715000" cy="3533775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400050</xdr:colOff>
      <xdr:row>2</xdr:row>
      <xdr:rowOff>171450</xdr:rowOff>
    </xdr:from>
    <xdr:ext cx="5715000" cy="3533775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923925</xdr:colOff>
      <xdr:row>2</xdr:row>
      <xdr:rowOff>171450</xdr:rowOff>
    </xdr:from>
    <xdr:ext cx="5715000" cy="3533775"/>
    <xdr:graphicFrame>
      <xdr:nvGraphicFramePr>
        <xdr:cNvPr id="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3</xdr:col>
      <xdr:colOff>152400</xdr:colOff>
      <xdr:row>27</xdr:row>
      <xdr:rowOff>152400</xdr:rowOff>
    </xdr:from>
    <xdr:ext cx="4400550" cy="390525"/>
    <xdr:sp>
      <xdr:nvSpPr>
        <xdr:cNvPr id="3" name="Shape 3"/>
        <xdr:cNvSpPr txBox="1"/>
      </xdr:nvSpPr>
      <xdr:spPr>
        <a:xfrm>
          <a:off x="1136900" y="669975"/>
          <a:ext cx="4385100" cy="369300"/>
        </a:xfrm>
        <a:prstGeom prst="rect">
          <a:avLst/>
        </a:prstGeom>
        <a:noFill/>
        <a:ln>
          <a:noFill/>
        </a:ln>
      </xdr:spPr>
      <xdr:txBody>
        <a:bodyPr anchorCtr="0" anchor="t" bIns="91425" lIns="91425" spcFirstLastPara="1" rIns="91425" wrap="square" tIns="91425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200"/>
        </a:p>
      </xdr:txBody>
    </xdr:sp>
    <xdr:clientData fLocksWithSheet="0"/>
  </xdr:oneCellAnchor>
  <xdr:oneCellAnchor>
    <xdr:from>
      <xdr:col>0</xdr:col>
      <xdr:colOff>542925</xdr:colOff>
      <xdr:row>21</xdr:row>
      <xdr:rowOff>104775</xdr:rowOff>
    </xdr:from>
    <xdr:ext cx="5429250" cy="1314450"/>
    <xdr:sp>
      <xdr:nvSpPr>
        <xdr:cNvPr id="4" name="Shape 4"/>
        <xdr:cNvSpPr txBox="1"/>
      </xdr:nvSpPr>
      <xdr:spPr>
        <a:xfrm>
          <a:off x="1116600" y="720725"/>
          <a:ext cx="5410500" cy="12930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91425" lIns="91425" spcFirstLastPara="1" rIns="91425" wrap="square" tIns="91425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/>
            <a:t>My value stock is Ternium S.A. and it significantly outperformed the class average by almost 20%. It’s returns were very similar to the S&amp;P 500 throughout the entire semester, only greatly outperforming the S&amp;P 500 average in late February.  The class’s value stock average had the worst performance in returns throughout the semester, as it </a:t>
          </a:r>
          <a:r>
            <a:rPr lang="en-US" sz="1200"/>
            <a:t>cumulated entirely </a:t>
          </a:r>
          <a:r>
            <a:rPr lang="en-US" sz="1200"/>
            <a:t>negative returns. </a:t>
          </a:r>
          <a:endParaRPr sz="1200"/>
        </a:p>
      </xdr:txBody>
    </xdr:sp>
    <xdr:clientData fLocksWithSheet="0"/>
  </xdr:oneCellAnchor>
  <xdr:oneCellAnchor>
    <xdr:from>
      <xdr:col>7</xdr:col>
      <xdr:colOff>200025</xdr:colOff>
      <xdr:row>21</xdr:row>
      <xdr:rowOff>104775</xdr:rowOff>
    </xdr:from>
    <xdr:ext cx="5086350" cy="1314450"/>
    <xdr:sp>
      <xdr:nvSpPr>
        <xdr:cNvPr id="5" name="Shape 5"/>
        <xdr:cNvSpPr txBox="1"/>
      </xdr:nvSpPr>
      <xdr:spPr>
        <a:xfrm>
          <a:off x="1218125" y="903425"/>
          <a:ext cx="5065200" cy="12930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91425" lIns="91425" spcFirstLastPara="1" rIns="91425" wrap="square" tIns="91425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200"/>
            <a:t>My </a:t>
          </a:r>
          <a:r>
            <a:rPr lang="en-US" sz="1200"/>
            <a:t>dividend</a:t>
          </a:r>
          <a:r>
            <a:rPr lang="en-US" sz="1200"/>
            <a:t> stock is Dell Inc. and its average return was very similar to the class average and S&amp;P 500 at the start of the semester. By </a:t>
          </a:r>
          <a:r>
            <a:rPr lang="en-US" sz="1200"/>
            <a:t>the</a:t>
          </a:r>
          <a:r>
            <a:rPr lang="en-US" sz="1200"/>
            <a:t> end of </a:t>
          </a:r>
          <a:r>
            <a:rPr lang="en-US" sz="1200"/>
            <a:t>the</a:t>
          </a:r>
          <a:r>
            <a:rPr lang="en-US" sz="1200"/>
            <a:t> </a:t>
          </a:r>
          <a:r>
            <a:rPr lang="en-US" sz="1200"/>
            <a:t>semester, Dell Inc. significantly outperformed both the class average and the S&amp;P 500. The class’s dividend stock average had the worst performance in returns throughout the semester, as it cumulated entirely negative returns. </a:t>
          </a:r>
          <a:endParaRPr sz="12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</cols>
  <sheetData>
    <row r="1">
      <c r="O1" s="1"/>
    </row>
    <row r="4">
      <c r="A4" s="2" t="s">
        <v>0</v>
      </c>
    </row>
    <row r="5">
      <c r="A5" s="3" t="s">
        <v>1</v>
      </c>
      <c r="B5" s="1">
        <v>44958.0</v>
      </c>
      <c r="C5" s="1">
        <v>44965.0</v>
      </c>
      <c r="D5" s="1">
        <v>44972.0</v>
      </c>
      <c r="E5" s="1">
        <v>44979.0</v>
      </c>
      <c r="F5" s="1">
        <v>44986.0</v>
      </c>
      <c r="G5" s="1">
        <v>44993.0</v>
      </c>
      <c r="H5" s="1">
        <v>45000.0</v>
      </c>
      <c r="I5" s="1">
        <v>45007.0</v>
      </c>
      <c r="J5" s="1">
        <v>45014.0</v>
      </c>
      <c r="K5" s="1">
        <v>45021.0</v>
      </c>
      <c r="L5" s="1">
        <v>45028.0</v>
      </c>
      <c r="M5" s="1">
        <v>45035.0</v>
      </c>
      <c r="N5" s="1">
        <v>45042.0</v>
      </c>
      <c r="O5" s="1">
        <v>45049.0</v>
      </c>
      <c r="P5" s="4"/>
    </row>
    <row r="6">
      <c r="A6" s="3" t="s">
        <v>2</v>
      </c>
      <c r="B6" s="5">
        <f>IFERROR(__xludf.DUMMYFUNCTION("index(GOOGLEFINANCE($A4,""price"",B5),2,2)"),24.54)</f>
        <v>24.54</v>
      </c>
      <c r="C6" s="5">
        <f>IFERROR(__xludf.DUMMYFUNCTION("index(GOOGLEFINANCE($A4,""price"",C5),2,2)"),24.15)</f>
        <v>24.15</v>
      </c>
      <c r="D6" s="5">
        <f>IFERROR(__xludf.DUMMYFUNCTION("index(GOOGLEFINANCE($A4,""price"",D5),2,2)"),24.92)</f>
        <v>24.92</v>
      </c>
      <c r="E6" s="5">
        <f>IFERROR(__xludf.DUMMYFUNCTION("index(GOOGLEFINANCE($A4,""price"",E5),2,2)"),23.26)</f>
        <v>23.26</v>
      </c>
      <c r="F6" s="5">
        <f>IFERROR(__xludf.DUMMYFUNCTION("index(GOOGLEFINANCE($A4,""price"",F5),2,2)"),25.24)</f>
        <v>25.24</v>
      </c>
      <c r="G6" s="5">
        <f>IFERROR(__xludf.DUMMYFUNCTION("index(GOOGLEFINANCE($A4,""price"",G5),2,2)"),25.15)</f>
        <v>25.15</v>
      </c>
      <c r="H6" s="5">
        <f>IFERROR(__xludf.DUMMYFUNCTION("index(GOOGLEFINANCE($A4,""price"",H5),2,2)"),22.78)</f>
        <v>22.78</v>
      </c>
      <c r="I6" s="5">
        <f>IFERROR(__xludf.DUMMYFUNCTION("index(GOOGLEFINANCE($A4,""price"",I5),2,2)"),23.5)</f>
        <v>23.5</v>
      </c>
      <c r="J6" s="5">
        <f>IFERROR(__xludf.DUMMYFUNCTION("index(GOOGLEFINANCE($A4,""price"",J5),2,2)"),24.11)</f>
        <v>24.11</v>
      </c>
      <c r="K6" s="5">
        <f>IFERROR(__xludf.DUMMYFUNCTION("index(GOOGLEFINANCE($A4,""price"",K5),2,2)"),25.41)</f>
        <v>25.41</v>
      </c>
      <c r="L6" s="5">
        <f>IFERROR(__xludf.DUMMYFUNCTION("index(GOOGLEFINANCE($A4,""price"",L5),2,2)"),25.76)</f>
        <v>25.76</v>
      </c>
      <c r="M6" s="5">
        <f>IFERROR(__xludf.DUMMYFUNCTION("index(GOOGLEFINANCE($A4,""price"",M5),2,2)"),25.7)</f>
        <v>25.7</v>
      </c>
      <c r="N6" s="5">
        <f>IFERROR(__xludf.DUMMYFUNCTION("index(GOOGLEFINANCE($A4,""price"",N5),2,2)"),24.69)</f>
        <v>24.69</v>
      </c>
      <c r="O6" s="5">
        <f>IFERROR(__xludf.DUMMYFUNCTION("index(GOOGLEFINANCE($A4,""price"",O5),2,2)"),24.1)</f>
        <v>24.1</v>
      </c>
    </row>
    <row r="7">
      <c r="A7" s="3" t="s">
        <v>3</v>
      </c>
      <c r="C7" s="6">
        <f t="shared" ref="C7:O7" si="1">(C6-$B6)/$B6</f>
        <v>-0.01589242054</v>
      </c>
      <c r="D7" s="6">
        <f t="shared" si="1"/>
        <v>0.01548492258</v>
      </c>
      <c r="E7" s="6">
        <f t="shared" si="1"/>
        <v>-0.0521597392</v>
      </c>
      <c r="F7" s="6">
        <f t="shared" si="1"/>
        <v>0.02852485738</v>
      </c>
      <c r="G7" s="6">
        <f t="shared" si="1"/>
        <v>0.02485737571</v>
      </c>
      <c r="H7" s="6">
        <f t="shared" si="1"/>
        <v>-0.0717196414</v>
      </c>
      <c r="I7" s="6">
        <f t="shared" si="1"/>
        <v>-0.0423797881</v>
      </c>
      <c r="J7" s="6">
        <f t="shared" si="1"/>
        <v>-0.01752241239</v>
      </c>
      <c r="K7" s="6">
        <f t="shared" si="1"/>
        <v>0.03545232274</v>
      </c>
      <c r="L7" s="6">
        <f t="shared" si="1"/>
        <v>0.04971475143</v>
      </c>
      <c r="M7" s="6">
        <f t="shared" si="1"/>
        <v>0.04726976365</v>
      </c>
      <c r="N7" s="6">
        <f t="shared" si="1"/>
        <v>0.006112469438</v>
      </c>
      <c r="O7" s="6">
        <f t="shared" si="1"/>
        <v>-0.01792991035</v>
      </c>
      <c r="P7" s="6"/>
    </row>
    <row r="8">
      <c r="P8" s="6"/>
    </row>
    <row r="9">
      <c r="A9" s="2" t="s">
        <v>4</v>
      </c>
      <c r="P9" s="6"/>
    </row>
    <row r="10">
      <c r="A10" s="3" t="s">
        <v>1</v>
      </c>
      <c r="B10" s="1">
        <v>44958.0</v>
      </c>
      <c r="C10" s="1">
        <v>44965.0</v>
      </c>
      <c r="D10" s="1">
        <v>44972.0</v>
      </c>
      <c r="E10" s="1">
        <v>44979.0</v>
      </c>
      <c r="F10" s="1">
        <v>44986.0</v>
      </c>
      <c r="G10" s="1">
        <v>44993.0</v>
      </c>
      <c r="H10" s="1">
        <v>45000.0</v>
      </c>
      <c r="I10" s="1">
        <v>45007.0</v>
      </c>
      <c r="J10" s="1">
        <v>45014.0</v>
      </c>
      <c r="K10" s="1">
        <v>45021.0</v>
      </c>
      <c r="L10" s="1">
        <v>45028.0</v>
      </c>
      <c r="M10" s="1">
        <v>45035.0</v>
      </c>
      <c r="N10" s="1">
        <v>45042.0</v>
      </c>
      <c r="O10" s="1">
        <v>45049.0</v>
      </c>
      <c r="P10" s="6"/>
    </row>
    <row r="11">
      <c r="A11" s="3" t="s">
        <v>2</v>
      </c>
      <c r="B11" s="5">
        <f>IFERROR(__xludf.DUMMYFUNCTION("INDEX(GOOGLEFINANCE($A9,""price"",B5),2,2)"),34.34)</f>
        <v>34.34</v>
      </c>
      <c r="C11" s="5">
        <f>IFERROR(__xludf.DUMMYFUNCTION("INDEX(GOOGLEFINANCE($A9,""price"",C5),2,2)"),33.23)</f>
        <v>33.23</v>
      </c>
      <c r="D11" s="5">
        <f>IFERROR(__xludf.DUMMYFUNCTION("INDEX(GOOGLEFINANCE($A9,""price"",D5),2,2)"),34.75)</f>
        <v>34.75</v>
      </c>
      <c r="E11" s="5">
        <f>IFERROR(__xludf.DUMMYFUNCTION("INDEX(GOOGLEFINANCE($A9,""price"",E5),2,2)"),32.72)</f>
        <v>32.72</v>
      </c>
      <c r="F11" s="5">
        <f>IFERROR(__xludf.DUMMYFUNCTION("INDEX(GOOGLEFINANCE($A9,""price"",F5),2,2)"),34.38)</f>
        <v>34.38</v>
      </c>
      <c r="G11" s="5">
        <f>IFERROR(__xludf.DUMMYFUNCTION("INDEX(GOOGLEFINANCE($A9,""price"",G5),2,2)"),34.11)</f>
        <v>34.11</v>
      </c>
      <c r="H11" s="5">
        <f>IFERROR(__xludf.DUMMYFUNCTION("INDEX(GOOGLEFINANCE($A9,""price"",H5),2,2)"),29.27)</f>
        <v>29.27</v>
      </c>
      <c r="I11" s="5">
        <f>IFERROR(__xludf.DUMMYFUNCTION("INDEX(GOOGLEFINANCE($A9,""price"",I5),2,2)"),30.01)</f>
        <v>30.01</v>
      </c>
      <c r="J11" s="5">
        <f>IFERROR(__xludf.DUMMYFUNCTION("INDEX(GOOGLEFINANCE($A9,""price"",J5),2,2)"),30.67)</f>
        <v>30.67</v>
      </c>
      <c r="K11" s="5">
        <f>IFERROR(__xludf.DUMMYFUNCTION("INDEX(GOOGLEFINANCE($A9,""price"",K5),2,2)"),32.0)</f>
        <v>32</v>
      </c>
      <c r="L11" s="5">
        <f>IFERROR(__xludf.DUMMYFUNCTION("INDEX(GOOGLEFINANCE($A9,""price"",L5),2,2)"),32.6)</f>
        <v>32.6</v>
      </c>
      <c r="M11" s="5">
        <f>IFERROR(__xludf.DUMMYFUNCTION("INDEX(GOOGLEFINANCE($A9,""price"",M5),2,2)"),30.87)</f>
        <v>30.87</v>
      </c>
      <c r="N11" s="5">
        <f>IFERROR(__xludf.DUMMYFUNCTION("INDEX(GOOGLEFINANCE($A9,""price"",N5),2,2)"),29.28)</f>
        <v>29.28</v>
      </c>
      <c r="O11" s="5">
        <f>IFERROR(__xludf.DUMMYFUNCTION("INDEX(GOOGLEFINANCE($A9,""price"",O5),2,2)"),28.61)</f>
        <v>28.61</v>
      </c>
      <c r="P11" s="6"/>
    </row>
    <row r="12">
      <c r="A12" s="3" t="s">
        <v>3</v>
      </c>
      <c r="C12" s="6">
        <f t="shared" ref="C12:O12" si="2">(C11-$B11)/$B11</f>
        <v>-0.03232382062</v>
      </c>
      <c r="D12" s="6">
        <f t="shared" si="2"/>
        <v>0.01193942924</v>
      </c>
      <c r="E12" s="6">
        <f t="shared" si="2"/>
        <v>-0.04717530577</v>
      </c>
      <c r="F12" s="6">
        <f t="shared" si="2"/>
        <v>0.001164822365</v>
      </c>
      <c r="G12" s="6">
        <f t="shared" si="2"/>
        <v>-0.006697728596</v>
      </c>
      <c r="H12" s="6">
        <f t="shared" si="2"/>
        <v>-0.1476412347</v>
      </c>
      <c r="I12" s="6">
        <f t="shared" si="2"/>
        <v>-0.126092021</v>
      </c>
      <c r="J12" s="6">
        <f t="shared" si="2"/>
        <v>-0.106872452</v>
      </c>
      <c r="K12" s="6">
        <f t="shared" si="2"/>
        <v>-0.06814210833</v>
      </c>
      <c r="L12" s="6">
        <f t="shared" si="2"/>
        <v>-0.05066977286</v>
      </c>
      <c r="M12" s="6">
        <f t="shared" si="2"/>
        <v>-0.1010483401</v>
      </c>
      <c r="N12" s="6">
        <f t="shared" si="2"/>
        <v>-0.1473500291</v>
      </c>
      <c r="O12" s="6">
        <f t="shared" si="2"/>
        <v>-0.1668608037</v>
      </c>
      <c r="P12" s="6"/>
    </row>
    <row r="13">
      <c r="P13" s="6"/>
    </row>
    <row r="14">
      <c r="A14" s="2" t="s">
        <v>5</v>
      </c>
      <c r="P14" s="6"/>
    </row>
    <row r="15">
      <c r="A15" s="3" t="s">
        <v>1</v>
      </c>
      <c r="B15" s="1">
        <v>44958.0</v>
      </c>
      <c r="C15" s="1">
        <v>44965.0</v>
      </c>
      <c r="D15" s="1">
        <v>44972.0</v>
      </c>
      <c r="E15" s="1">
        <v>44979.0</v>
      </c>
      <c r="F15" s="1">
        <v>44986.0</v>
      </c>
      <c r="G15" s="1">
        <v>44993.0</v>
      </c>
      <c r="H15" s="1">
        <v>45000.0</v>
      </c>
      <c r="I15" s="1">
        <v>45007.0</v>
      </c>
      <c r="J15" s="1">
        <v>45014.0</v>
      </c>
      <c r="K15" s="1">
        <v>45021.0</v>
      </c>
      <c r="L15" s="1">
        <v>45028.0</v>
      </c>
      <c r="M15" s="1">
        <v>45035.0</v>
      </c>
      <c r="N15" s="1">
        <v>45042.0</v>
      </c>
      <c r="O15" s="1">
        <v>45049.0</v>
      </c>
      <c r="P15" s="6"/>
    </row>
    <row r="16">
      <c r="A16" s="3" t="s">
        <v>2</v>
      </c>
      <c r="B16" s="5">
        <f>IFERROR(__xludf.DUMMYFUNCTION("INDEX(GOOGLEFINANCE($A14,""price"",B10),2,2)"),40.78)</f>
        <v>40.78</v>
      </c>
      <c r="C16" s="5">
        <f>IFERROR(__xludf.DUMMYFUNCTION("INDEX(GOOGLEFINANCE($A14,""price"",C10),2,2)"),39.23)</f>
        <v>39.23</v>
      </c>
      <c r="D16" s="5">
        <f>IFERROR(__xludf.DUMMYFUNCTION("INDEX(GOOGLEFINANCE($A14,""price"",D10),2,2)"),41.0)</f>
        <v>41</v>
      </c>
      <c r="E16" s="5">
        <f>IFERROR(__xludf.DUMMYFUNCTION("INDEX(GOOGLEFINANCE($A14,""price"",E10),2,2)"),40.2)</f>
        <v>40.2</v>
      </c>
      <c r="F16" s="5">
        <f>IFERROR(__xludf.DUMMYFUNCTION("INDEX(GOOGLEFINANCE($A14,""price"",F10),2,2)"),44.06)</f>
        <v>44.06</v>
      </c>
      <c r="G16" s="5">
        <f>IFERROR(__xludf.DUMMYFUNCTION("INDEX(GOOGLEFINANCE($A14,""price"",G10),2,2)"),45.02)</f>
        <v>45.02</v>
      </c>
      <c r="H16" s="5">
        <f>IFERROR(__xludf.DUMMYFUNCTION("INDEX(GOOGLEFINANCE($A14,""price"",H10),2,2)"),39.44)</f>
        <v>39.44</v>
      </c>
      <c r="I16" s="5">
        <f>IFERROR(__xludf.DUMMYFUNCTION("INDEX(GOOGLEFINANCE($A14,""price"",I10),2,2)"),39.25)</f>
        <v>39.25</v>
      </c>
      <c r="J16" s="5">
        <f>IFERROR(__xludf.DUMMYFUNCTION("INDEX(GOOGLEFINANCE($A14,""price"",J10),2,2)"),40.67)</f>
        <v>40.67</v>
      </c>
      <c r="K16" s="5">
        <f>IFERROR(__xludf.DUMMYFUNCTION("INDEX(GOOGLEFINANCE($A14,""price"",K10),2,2)"),38.93)</f>
        <v>38.93</v>
      </c>
      <c r="L16" s="5">
        <f>IFERROR(__xludf.DUMMYFUNCTION("INDEX(GOOGLEFINANCE($A14,""price"",L10),2,2)"),41.84)</f>
        <v>41.84</v>
      </c>
      <c r="M16" s="5">
        <f>IFERROR(__xludf.DUMMYFUNCTION("INDEX(GOOGLEFINANCE($A14,""price"",M10),2,2)"),41.79)</f>
        <v>41.79</v>
      </c>
      <c r="N16" s="5">
        <f>IFERROR(__xludf.DUMMYFUNCTION("INDEX(GOOGLEFINANCE($A14,""price"",N10),2,2)"),42.17)</f>
        <v>42.17</v>
      </c>
      <c r="O16" s="5">
        <f>IFERROR(__xludf.DUMMYFUNCTION("INDEX(GOOGLEFINANCE($A14,""price"",O10),2,2)"),40.82)</f>
        <v>40.82</v>
      </c>
      <c r="P16" s="7"/>
    </row>
    <row r="17">
      <c r="A17" s="3" t="s">
        <v>3</v>
      </c>
      <c r="C17" s="6">
        <f t="shared" ref="C17:O17" si="3">(C16-$B16)/$B16</f>
        <v>-0.03800882786</v>
      </c>
      <c r="D17" s="6">
        <f t="shared" si="3"/>
        <v>0.005394801373</v>
      </c>
      <c r="E17" s="6">
        <f t="shared" si="3"/>
        <v>-0.01422265817</v>
      </c>
      <c r="F17" s="6">
        <f t="shared" si="3"/>
        <v>0.08043158411</v>
      </c>
      <c r="G17" s="6">
        <f t="shared" si="3"/>
        <v>0.1039725356</v>
      </c>
      <c r="H17" s="6">
        <f t="shared" si="3"/>
        <v>-0.03285924473</v>
      </c>
      <c r="I17" s="6">
        <f t="shared" si="3"/>
        <v>-0.03751839137</v>
      </c>
      <c r="J17" s="6">
        <f t="shared" si="3"/>
        <v>-0.002697400687</v>
      </c>
      <c r="K17" s="6">
        <f t="shared" si="3"/>
        <v>-0.04536537518</v>
      </c>
      <c r="L17" s="6">
        <f t="shared" si="3"/>
        <v>0.02599313389</v>
      </c>
      <c r="M17" s="6">
        <f t="shared" si="3"/>
        <v>0.02476704267</v>
      </c>
      <c r="N17" s="6">
        <f t="shared" si="3"/>
        <v>0.03408533595</v>
      </c>
      <c r="O17" s="6">
        <f t="shared" si="3"/>
        <v>0.0009808729769</v>
      </c>
      <c r="P17" s="6"/>
    </row>
    <row r="18">
      <c r="P18" s="6"/>
    </row>
    <row r="19">
      <c r="A19" s="2" t="s">
        <v>6</v>
      </c>
      <c r="P19" s="6"/>
    </row>
    <row r="20">
      <c r="A20" s="3" t="s">
        <v>1</v>
      </c>
      <c r="B20" s="1">
        <v>44958.0</v>
      </c>
      <c r="C20" s="1">
        <v>44965.0</v>
      </c>
      <c r="D20" s="1">
        <v>44972.0</v>
      </c>
      <c r="E20" s="1">
        <v>44979.0</v>
      </c>
      <c r="F20" s="1">
        <v>44986.0</v>
      </c>
      <c r="G20" s="1">
        <v>44993.0</v>
      </c>
      <c r="H20" s="1">
        <v>45000.0</v>
      </c>
      <c r="I20" s="1">
        <v>45007.0</v>
      </c>
      <c r="J20" s="1">
        <v>45014.0</v>
      </c>
      <c r="K20" s="1">
        <v>45021.0</v>
      </c>
      <c r="L20" s="1">
        <v>45028.0</v>
      </c>
      <c r="M20" s="1">
        <v>45035.0</v>
      </c>
      <c r="N20" s="1">
        <v>45042.0</v>
      </c>
      <c r="O20" s="1">
        <v>45049.0</v>
      </c>
      <c r="P20" s="6"/>
    </row>
    <row r="21">
      <c r="A21" s="3" t="s">
        <v>2</v>
      </c>
      <c r="B21" s="5">
        <f>IFERROR(__xludf.DUMMYFUNCTION("INDEX(GOOGLEFINANCE($A19,""price"",B15),2,2)"),14.31)</f>
        <v>14.31</v>
      </c>
      <c r="C21" s="5">
        <f>IFERROR(__xludf.DUMMYFUNCTION("INDEX(GOOGLEFINANCE($A19,""price"",C15),2,2)"),13.43)</f>
        <v>13.43</v>
      </c>
      <c r="D21" s="5">
        <f>IFERROR(__xludf.DUMMYFUNCTION("INDEX(GOOGLEFINANCE($A19,""price"",D15),2,2)"),12.93)</f>
        <v>12.93</v>
      </c>
      <c r="E21" s="5">
        <f>IFERROR(__xludf.DUMMYFUNCTION("INDEX(GOOGLEFINANCE($A19,""price"",E15),2,2)"),12.4)</f>
        <v>12.4</v>
      </c>
      <c r="F21" s="5">
        <f>IFERROR(__xludf.DUMMYFUNCTION("INDEX(GOOGLEFINANCE($A19,""price"",F15),2,2)"),11.62)</f>
        <v>11.62</v>
      </c>
      <c r="G21" s="5">
        <f>IFERROR(__xludf.DUMMYFUNCTION("INDEX(GOOGLEFINANCE($A19,""price"",G15),2,2)"),11.55)</f>
        <v>11.55</v>
      </c>
      <c r="H21" s="5">
        <f>IFERROR(__xludf.DUMMYFUNCTION("INDEX(GOOGLEFINANCE($A19,""price"",H15),2,2)"),11.4)</f>
        <v>11.4</v>
      </c>
      <c r="I21" s="5">
        <f>IFERROR(__xludf.DUMMYFUNCTION("INDEX(GOOGLEFINANCE($A19,""price"",I15),2,2)"),11.68)</f>
        <v>11.68</v>
      </c>
      <c r="J21" s="5">
        <f>IFERROR(__xludf.DUMMYFUNCTION("INDEX(GOOGLEFINANCE($A19,""price"",J15),2,2)"),11.23)</f>
        <v>11.23</v>
      </c>
      <c r="K21" s="5">
        <f>IFERROR(__xludf.DUMMYFUNCTION("INDEX(GOOGLEFINANCE($A19,""price"",K15),2,2)"),11.71)</f>
        <v>11.71</v>
      </c>
      <c r="L21" s="5">
        <f>IFERROR(__xludf.DUMMYFUNCTION("INDEX(GOOGLEFINANCE($A19,""price"",L15),2,2)"),11.59)</f>
        <v>11.59</v>
      </c>
      <c r="M21" s="5">
        <f>IFERROR(__xludf.DUMMYFUNCTION("INDEX(GOOGLEFINANCE($A19,""price"",M15),2,2)"),11.51)</f>
        <v>11.51</v>
      </c>
      <c r="N21" s="5">
        <f>IFERROR(__xludf.DUMMYFUNCTION("INDEX(GOOGLEFINANCE($A19,""price"",N15),2,2)"),11.19)</f>
        <v>11.19</v>
      </c>
      <c r="O21" s="5">
        <f>IFERROR(__xludf.DUMMYFUNCTION("INDEX(GOOGLEFINANCE($A19,""price"",O15),2,2)"),11.33)</f>
        <v>11.33</v>
      </c>
      <c r="P21" s="6"/>
    </row>
    <row r="22">
      <c r="A22" s="3" t="s">
        <v>3</v>
      </c>
      <c r="C22" s="6">
        <f t="shared" ref="C22:O22" si="4">(C21-$B21)/$B21</f>
        <v>-0.06149545772</v>
      </c>
      <c r="D22" s="6">
        <f t="shared" si="4"/>
        <v>-0.0964360587</v>
      </c>
      <c r="E22" s="6">
        <f t="shared" si="4"/>
        <v>-0.1334730957</v>
      </c>
      <c r="F22" s="6">
        <f t="shared" si="4"/>
        <v>-0.1879804333</v>
      </c>
      <c r="G22" s="6">
        <f t="shared" si="4"/>
        <v>-0.1928721174</v>
      </c>
      <c r="H22" s="6">
        <f t="shared" si="4"/>
        <v>-0.2033542977</v>
      </c>
      <c r="I22" s="6">
        <f t="shared" si="4"/>
        <v>-0.1837875611</v>
      </c>
      <c r="J22" s="6">
        <f t="shared" si="4"/>
        <v>-0.215234102</v>
      </c>
      <c r="K22" s="6">
        <f t="shared" si="4"/>
        <v>-0.1816911251</v>
      </c>
      <c r="L22" s="6">
        <f t="shared" si="4"/>
        <v>-0.1900768693</v>
      </c>
      <c r="M22" s="6">
        <f t="shared" si="4"/>
        <v>-0.1956673655</v>
      </c>
      <c r="N22" s="6">
        <f t="shared" si="4"/>
        <v>-0.2180293501</v>
      </c>
      <c r="O22" s="6">
        <f t="shared" si="4"/>
        <v>-0.2082459818</v>
      </c>
      <c r="P22" s="6"/>
    </row>
    <row r="23">
      <c r="P23" s="6"/>
    </row>
    <row r="24">
      <c r="A24" s="2" t="s">
        <v>7</v>
      </c>
      <c r="P24" s="6"/>
    </row>
    <row r="25">
      <c r="A25" s="3" t="s">
        <v>1</v>
      </c>
      <c r="B25" s="1">
        <v>44958.0</v>
      </c>
      <c r="C25" s="1">
        <v>44965.0</v>
      </c>
      <c r="D25" s="1">
        <v>44972.0</v>
      </c>
      <c r="E25" s="1">
        <v>44979.0</v>
      </c>
      <c r="F25" s="1">
        <v>44986.0</v>
      </c>
      <c r="G25" s="1">
        <v>44993.0</v>
      </c>
      <c r="H25" s="1">
        <v>45000.0</v>
      </c>
      <c r="I25" s="1">
        <v>45007.0</v>
      </c>
      <c r="J25" s="1">
        <v>45014.0</v>
      </c>
      <c r="K25" s="1">
        <v>45021.0</v>
      </c>
      <c r="L25" s="1">
        <v>45028.0</v>
      </c>
      <c r="M25" s="1">
        <v>45035.0</v>
      </c>
      <c r="N25" s="1">
        <v>45042.0</v>
      </c>
      <c r="O25" s="1">
        <v>45049.0</v>
      </c>
      <c r="P25" s="6"/>
    </row>
    <row r="26">
      <c r="A26" s="3" t="s">
        <v>2</v>
      </c>
      <c r="B26" s="5">
        <f>IFERROR(__xludf.DUMMYFUNCTION("INDEX(GOOGLEFINANCE($A24,""price"",B25),2,2)"),95.16)</f>
        <v>95.16</v>
      </c>
      <c r="C26" s="5">
        <f>IFERROR(__xludf.DUMMYFUNCTION("INDEX(GOOGLEFINANCE($A24,""price"",C25),2,2)"),93.62)</f>
        <v>93.62</v>
      </c>
      <c r="D26" s="5">
        <f>IFERROR(__xludf.DUMMYFUNCTION("INDEX(GOOGLEFINANCE($A24,""price"",D25),2,2)"),90.0)</f>
        <v>90</v>
      </c>
      <c r="E26" s="5">
        <f>IFERROR(__xludf.DUMMYFUNCTION("INDEX(GOOGLEFINANCE($A24,""price"",E25),2,2)"),92.35)</f>
        <v>92.35</v>
      </c>
      <c r="F26" s="5">
        <f>IFERROR(__xludf.DUMMYFUNCTION("INDEX(GOOGLEFINANCE($A24,""price"",F25),2,2)"),89.68)</f>
        <v>89.68</v>
      </c>
      <c r="G26" s="5">
        <f>IFERROR(__xludf.DUMMYFUNCTION("INDEX(GOOGLEFINANCE($A24,""price"",G25),2,2)"),89.45)</f>
        <v>89.45</v>
      </c>
      <c r="H26" s="5">
        <f>IFERROR(__xludf.DUMMYFUNCTION("INDEX(GOOGLEFINANCE($A24,""price"",H25),2,2)"),86.51)</f>
        <v>86.51</v>
      </c>
      <c r="I26" s="5">
        <f>IFERROR(__xludf.DUMMYFUNCTION("INDEX(GOOGLEFINANCE($A24,""price"",I25),2,2)"),86.75)</f>
        <v>86.75</v>
      </c>
      <c r="J26" s="5">
        <f>IFERROR(__xludf.DUMMYFUNCTION("INDEX(GOOGLEFINANCE($A24,""price"",J25),2,2)"),89.64)</f>
        <v>89.64</v>
      </c>
      <c r="K26" s="5">
        <f>IFERROR(__xludf.DUMMYFUNCTION("INDEX(GOOGLEFINANCE($A24,""price"",K25),2,2)"),89.27)</f>
        <v>89.27</v>
      </c>
      <c r="L26" s="5">
        <f>IFERROR(__xludf.DUMMYFUNCTION("INDEX(GOOGLEFINANCE($A24,""price"",L25),2,2)"),89.14)</f>
        <v>89.14</v>
      </c>
      <c r="M26" s="5">
        <f>IFERROR(__xludf.DUMMYFUNCTION("INDEX(GOOGLEFINANCE($A24,""price"",M25),2,2)"),88.32)</f>
        <v>88.32</v>
      </c>
      <c r="N26" s="5">
        <f>IFERROR(__xludf.DUMMYFUNCTION("INDEX(GOOGLEFINANCE($A24,""price"",N25),2,2)"),89.65)</f>
        <v>89.65</v>
      </c>
      <c r="O26" s="5">
        <f>IFERROR(__xludf.DUMMYFUNCTION("INDEX(GOOGLEFINANCE($A24,""price"",O25),2,2)"),90.09)</f>
        <v>90.09</v>
      </c>
      <c r="P26" s="6"/>
    </row>
    <row r="27">
      <c r="A27" s="3" t="s">
        <v>3</v>
      </c>
      <c r="C27" s="6">
        <f t="shared" ref="C27:N27" si="5">(C26-$B26)/$B26</f>
        <v>-0.01618327028</v>
      </c>
      <c r="D27" s="6">
        <f t="shared" si="5"/>
        <v>-0.05422446406</v>
      </c>
      <c r="E27" s="6">
        <f t="shared" si="5"/>
        <v>-0.02952921396</v>
      </c>
      <c r="F27" s="6">
        <f t="shared" si="5"/>
        <v>-0.05758722152</v>
      </c>
      <c r="G27" s="6">
        <f t="shared" si="5"/>
        <v>-0.06000420345</v>
      </c>
      <c r="H27" s="6">
        <f t="shared" si="5"/>
        <v>-0.09089953762</v>
      </c>
      <c r="I27" s="6">
        <f t="shared" si="5"/>
        <v>-0.08837746953</v>
      </c>
      <c r="J27" s="6">
        <f t="shared" si="5"/>
        <v>-0.0580075662</v>
      </c>
      <c r="K27" s="6">
        <f t="shared" si="5"/>
        <v>-0.06189575452</v>
      </c>
      <c r="L27" s="6">
        <f t="shared" si="5"/>
        <v>-0.06326187474</v>
      </c>
      <c r="M27" s="6">
        <f t="shared" si="5"/>
        <v>-0.07187894073</v>
      </c>
      <c r="N27" s="6">
        <f t="shared" si="5"/>
        <v>-0.05790248003</v>
      </c>
      <c r="P27" s="6"/>
    </row>
    <row r="28">
      <c r="P28" s="6"/>
    </row>
    <row r="29">
      <c r="A29" s="2" t="s">
        <v>8</v>
      </c>
      <c r="P29" s="6"/>
    </row>
    <row r="30">
      <c r="A30" s="3" t="s">
        <v>1</v>
      </c>
      <c r="B30" s="1">
        <v>44958.0</v>
      </c>
      <c r="C30" s="1">
        <v>44965.0</v>
      </c>
      <c r="D30" s="1">
        <v>44972.0</v>
      </c>
      <c r="E30" s="1">
        <v>44979.0</v>
      </c>
      <c r="F30" s="1">
        <v>44986.0</v>
      </c>
      <c r="G30" s="1">
        <v>44993.0</v>
      </c>
      <c r="H30" s="1">
        <v>45000.0</v>
      </c>
      <c r="I30" s="1">
        <v>45007.0</v>
      </c>
      <c r="J30" s="1">
        <v>45014.0</v>
      </c>
      <c r="K30" s="1">
        <v>45021.0</v>
      </c>
      <c r="L30" s="1">
        <v>45028.0</v>
      </c>
      <c r="M30" s="1">
        <v>45035.0</v>
      </c>
      <c r="N30" s="1">
        <v>45042.0</v>
      </c>
      <c r="O30" s="1">
        <v>45049.0</v>
      </c>
      <c r="P30" s="6"/>
    </row>
    <row r="31">
      <c r="A31" s="3" t="s">
        <v>2</v>
      </c>
      <c r="B31" s="5">
        <f>IFERROR(__xludf.DUMMYFUNCTION("INDEX(GOOGLEFINANCE($A29,""price"",B30),2,2)"),11.53)</f>
        <v>11.53</v>
      </c>
      <c r="C31" s="5">
        <f>IFERROR(__xludf.DUMMYFUNCTION("INDEX(GOOGLEFINANCE($A29,""price"",C30),2,2)"),11.62)</f>
        <v>11.62</v>
      </c>
      <c r="D31" s="5">
        <f>IFERROR(__xludf.DUMMYFUNCTION("INDEX(GOOGLEFINANCE($A29,""price"",D30),2,2)"),11.47)</f>
        <v>11.47</v>
      </c>
      <c r="E31" s="5">
        <f>IFERROR(__xludf.DUMMYFUNCTION("INDEX(GOOGLEFINANCE($A29,""price"",E30),2,2)"),12.31)</f>
        <v>12.31</v>
      </c>
      <c r="F31" s="5">
        <f>IFERROR(__xludf.DUMMYFUNCTION("INDEX(GOOGLEFINANCE($A29,""price"",F30),2,2)"),12.73)</f>
        <v>12.73</v>
      </c>
      <c r="G31" s="5">
        <f>IFERROR(__xludf.DUMMYFUNCTION("INDEX(GOOGLEFINANCE($A29,""price"",G30),2,2)"),13.68)</f>
        <v>13.68</v>
      </c>
      <c r="H31" s="5">
        <f>IFERROR(__xludf.DUMMYFUNCTION("INDEX(GOOGLEFINANCE($A29,""price"",H30),2,2)"),12.01)</f>
        <v>12.01</v>
      </c>
      <c r="I31" s="5">
        <f>IFERROR(__xludf.DUMMYFUNCTION("INDEX(GOOGLEFINANCE($A29,""price"",I30),2,2)"),11.74)</f>
        <v>11.74</v>
      </c>
      <c r="J31" s="5">
        <f>IFERROR(__xludf.DUMMYFUNCTION("INDEX(GOOGLEFINANCE($A29,""price"",J30),2,2)"),11.17)</f>
        <v>11.17</v>
      </c>
      <c r="K31" s="5">
        <f>IFERROR(__xludf.DUMMYFUNCTION("INDEX(GOOGLEFINANCE($A29,""price"",K30),2,2)"),11.0)</f>
        <v>11</v>
      </c>
      <c r="L31" s="5">
        <f>IFERROR(__xludf.DUMMYFUNCTION("INDEX(GOOGLEFINANCE($A29,""price"",L30),2,2)"),11.54)</f>
        <v>11.54</v>
      </c>
      <c r="M31" s="5">
        <f>IFERROR(__xludf.DUMMYFUNCTION("INDEX(GOOGLEFINANCE($A29,""price"",M30),2,2)"),10.71)</f>
        <v>10.71</v>
      </c>
      <c r="N31" s="5">
        <f>IFERROR(__xludf.DUMMYFUNCTION("INDEX(GOOGLEFINANCE($A29,""price"",N30),2,2)"),10.86)</f>
        <v>10.86</v>
      </c>
      <c r="O31" s="5">
        <f>IFERROR(__xludf.DUMMYFUNCTION("INDEX(GOOGLEFINANCE($A29,""price"",O30),2,2)"),11.0)</f>
        <v>11</v>
      </c>
      <c r="P31" s="6"/>
    </row>
    <row r="32">
      <c r="A32" s="3" t="s">
        <v>3</v>
      </c>
      <c r="C32" s="6">
        <f t="shared" ref="C32:O32" si="6">(C31-$B31)/$B31</f>
        <v>0.007805724198</v>
      </c>
      <c r="D32" s="6">
        <f t="shared" si="6"/>
        <v>-0.005203816132</v>
      </c>
      <c r="E32" s="6">
        <f t="shared" si="6"/>
        <v>0.06764960971</v>
      </c>
      <c r="F32" s="6">
        <f t="shared" si="6"/>
        <v>0.1040763226</v>
      </c>
      <c r="G32" s="6">
        <f t="shared" si="6"/>
        <v>0.1864700781</v>
      </c>
      <c r="H32" s="6">
        <f t="shared" si="6"/>
        <v>0.04163052905</v>
      </c>
      <c r="I32" s="6">
        <f t="shared" si="6"/>
        <v>0.01821335646</v>
      </c>
      <c r="J32" s="6">
        <f t="shared" si="6"/>
        <v>-0.03122289679</v>
      </c>
      <c r="K32" s="6">
        <f t="shared" si="6"/>
        <v>-0.0459670425</v>
      </c>
      <c r="L32" s="6">
        <f t="shared" si="6"/>
        <v>0.0008673026886</v>
      </c>
      <c r="M32" s="6">
        <f t="shared" si="6"/>
        <v>-0.07111882047</v>
      </c>
      <c r="N32" s="6">
        <f t="shared" si="6"/>
        <v>-0.05810928014</v>
      </c>
      <c r="O32" s="6">
        <f t="shared" si="6"/>
        <v>-0.0459670425</v>
      </c>
      <c r="P32" s="6"/>
    </row>
    <row r="33">
      <c r="P33" s="6"/>
    </row>
    <row r="34">
      <c r="A34" s="2" t="s">
        <v>9</v>
      </c>
      <c r="P34" s="6"/>
    </row>
    <row r="35">
      <c r="A35" s="3" t="s">
        <v>1</v>
      </c>
      <c r="B35" s="1">
        <v>44958.0</v>
      </c>
      <c r="C35" s="1">
        <v>44965.0</v>
      </c>
      <c r="D35" s="1">
        <v>44972.0</v>
      </c>
      <c r="E35" s="1">
        <v>44979.0</v>
      </c>
      <c r="F35" s="1">
        <v>44986.0</v>
      </c>
      <c r="G35" s="1">
        <v>44993.0</v>
      </c>
      <c r="H35" s="1">
        <v>45000.0</v>
      </c>
      <c r="I35" s="1">
        <v>45007.0</v>
      </c>
      <c r="J35" s="1">
        <v>45014.0</v>
      </c>
      <c r="K35" s="1">
        <v>45021.0</v>
      </c>
      <c r="L35" s="1">
        <v>45028.0</v>
      </c>
      <c r="M35" s="1">
        <v>45035.0</v>
      </c>
      <c r="N35" s="1">
        <v>45042.0</v>
      </c>
      <c r="O35" s="1">
        <v>45049.0</v>
      </c>
      <c r="P35" s="6"/>
    </row>
    <row r="36">
      <c r="A36" s="3" t="s">
        <v>2</v>
      </c>
      <c r="B36" s="5">
        <f>IFERROR(__xludf.DUMMYFUNCTION("INDEX(GOOGLEFINANCE($A34,""price"",B35),2,2)"),32.38)</f>
        <v>32.38</v>
      </c>
      <c r="C36" s="5">
        <f>IFERROR(__xludf.DUMMYFUNCTION("INDEX(GOOGLEFINANCE($A34,""price"",C35),2,2)"),31.69)</f>
        <v>31.69</v>
      </c>
      <c r="D36" s="5">
        <f>IFERROR(__xludf.DUMMYFUNCTION("INDEX(GOOGLEFINANCE($A34,""price"",D35),2,2)"),30.67)</f>
        <v>30.67</v>
      </c>
      <c r="E36" s="5">
        <f>IFERROR(__xludf.DUMMYFUNCTION("INDEX(GOOGLEFINANCE($A34,""price"",E35),2,2)"),28.16)</f>
        <v>28.16</v>
      </c>
      <c r="F36" s="5">
        <f>IFERROR(__xludf.DUMMYFUNCTION("INDEX(GOOGLEFINANCE($A34,""price"",F35),2,2)"),27.7)</f>
        <v>27.7</v>
      </c>
      <c r="G36" s="5">
        <f>IFERROR(__xludf.DUMMYFUNCTION("INDEX(GOOGLEFINANCE($A34,""price"",G35),2,2)"),28.63)</f>
        <v>28.63</v>
      </c>
      <c r="H36" s="5">
        <f>IFERROR(__xludf.DUMMYFUNCTION("INDEX(GOOGLEFINANCE($A34,""price"",H35),2,2)"),28.75)</f>
        <v>28.75</v>
      </c>
      <c r="I36" s="5">
        <f>IFERROR(__xludf.DUMMYFUNCTION("INDEX(GOOGLEFINANCE($A34,""price"",I35),2,2)"),28.64)</f>
        <v>28.64</v>
      </c>
      <c r="J36" s="5">
        <f>IFERROR(__xludf.DUMMYFUNCTION("INDEX(GOOGLEFINANCE($A34,""price"",J35),2,2)"),29.05)</f>
        <v>29.05</v>
      </c>
      <c r="K36" s="5">
        <f>IFERROR(__xludf.DUMMYFUNCTION("INDEX(GOOGLEFINANCE($A34,""price"",K35),2,2)"),31.84)</f>
        <v>31.84</v>
      </c>
      <c r="L36" s="5">
        <f>IFERROR(__xludf.DUMMYFUNCTION("INDEX(GOOGLEFINANCE($A34,""price"",L35),2,2)"),27.51)</f>
        <v>27.51</v>
      </c>
      <c r="M36" s="5">
        <f>IFERROR(__xludf.DUMMYFUNCTION("INDEX(GOOGLEFINANCE($A34,""price"",M35),2,2)"),26.86)</f>
        <v>26.86</v>
      </c>
      <c r="N36" s="5">
        <f>IFERROR(__xludf.DUMMYFUNCTION("INDEX(GOOGLEFINANCE($A34,""price"",N35),2,2)"),26.14)</f>
        <v>26.14</v>
      </c>
      <c r="O36" s="5">
        <f>IFERROR(__xludf.DUMMYFUNCTION("INDEX(GOOGLEFINANCE($A34,""price"",O35),2,2)"),27.39)</f>
        <v>27.39</v>
      </c>
      <c r="P36" s="6"/>
    </row>
    <row r="37">
      <c r="A37" s="3" t="s">
        <v>3</v>
      </c>
      <c r="C37" s="6">
        <f t="shared" ref="C37:O37" si="7">(C36-$B36)/$B36</f>
        <v>-0.02130945028</v>
      </c>
      <c r="D37" s="6">
        <f t="shared" si="7"/>
        <v>-0.05281037678</v>
      </c>
      <c r="E37" s="6">
        <f t="shared" si="7"/>
        <v>-0.1303273626</v>
      </c>
      <c r="F37" s="6">
        <f t="shared" si="7"/>
        <v>-0.1445336628</v>
      </c>
      <c r="G37" s="6">
        <f t="shared" si="7"/>
        <v>-0.1158122298</v>
      </c>
      <c r="H37" s="6">
        <f t="shared" si="7"/>
        <v>-0.1121062384</v>
      </c>
      <c r="I37" s="6">
        <f t="shared" si="7"/>
        <v>-0.1155033972</v>
      </c>
      <c r="J37" s="6">
        <f t="shared" si="7"/>
        <v>-0.10284126</v>
      </c>
      <c r="K37" s="6">
        <f t="shared" si="7"/>
        <v>-0.01667696109</v>
      </c>
      <c r="L37" s="6">
        <f t="shared" si="7"/>
        <v>-0.1504014824</v>
      </c>
      <c r="M37" s="6">
        <f t="shared" si="7"/>
        <v>-0.1704756022</v>
      </c>
      <c r="N37" s="6">
        <f t="shared" si="7"/>
        <v>-0.1927115503</v>
      </c>
      <c r="O37" s="6">
        <f t="shared" si="7"/>
        <v>-0.1541074737</v>
      </c>
      <c r="P37" s="6"/>
    </row>
    <row r="38">
      <c r="P38" s="6"/>
    </row>
    <row r="39">
      <c r="A39" s="2" t="s">
        <v>10</v>
      </c>
      <c r="P39" s="6"/>
    </row>
    <row r="40">
      <c r="A40" s="3" t="s">
        <v>1</v>
      </c>
      <c r="B40" s="1">
        <v>44958.0</v>
      </c>
      <c r="C40" s="1">
        <v>44965.0</v>
      </c>
      <c r="D40" s="1">
        <v>44972.0</v>
      </c>
      <c r="E40" s="1">
        <v>44979.0</v>
      </c>
      <c r="F40" s="1">
        <v>44986.0</v>
      </c>
      <c r="G40" s="1">
        <v>44993.0</v>
      </c>
      <c r="H40" s="1">
        <v>45000.0</v>
      </c>
      <c r="I40" s="1">
        <v>45007.0</v>
      </c>
      <c r="J40" s="1">
        <v>45014.0</v>
      </c>
      <c r="K40" s="1">
        <v>45021.0</v>
      </c>
      <c r="L40" s="1">
        <v>45028.0</v>
      </c>
      <c r="M40" s="1">
        <v>45035.0</v>
      </c>
      <c r="N40" s="1">
        <v>45042.0</v>
      </c>
      <c r="O40" s="1">
        <v>45049.0</v>
      </c>
      <c r="P40" s="6"/>
    </row>
    <row r="41">
      <c r="A41" s="3" t="s">
        <v>2</v>
      </c>
      <c r="B41" s="5">
        <f>IFERROR(__xludf.DUMMYFUNCTION("INDEX(GOOGLEFINANCE($A39,""price"",B40),2,2)"),3.15)</f>
        <v>3.15</v>
      </c>
      <c r="C41" s="5">
        <f>IFERROR(__xludf.DUMMYFUNCTION("INDEX(GOOGLEFINANCE($A39,""price"",C40),2,2)"),2.84)</f>
        <v>2.84</v>
      </c>
      <c r="D41" s="5">
        <f>IFERROR(__xludf.DUMMYFUNCTION("INDEX(GOOGLEFINANCE($A39,""price"",D40),2,2)"),2.89)</f>
        <v>2.89</v>
      </c>
      <c r="E41" s="5">
        <f>IFERROR(__xludf.DUMMYFUNCTION("INDEX(GOOGLEFINANCE($A39,""price"",E40),2,2)"),3.03)</f>
        <v>3.03</v>
      </c>
      <c r="F41" s="5">
        <f>IFERROR(__xludf.DUMMYFUNCTION("INDEX(GOOGLEFINANCE($A39,""price"",F40),2,2)"),2.87)</f>
        <v>2.87</v>
      </c>
      <c r="G41" s="5">
        <f>IFERROR(__xludf.DUMMYFUNCTION("INDEX(GOOGLEFINANCE($A39,""price"",G40),2,2)"),2.93)</f>
        <v>2.93</v>
      </c>
      <c r="H41" s="5">
        <f>IFERROR(__xludf.DUMMYFUNCTION("INDEX(GOOGLEFINANCE($A39,""price"",H40),2,2)"),2.91)</f>
        <v>2.91</v>
      </c>
      <c r="I41" s="5">
        <f>IFERROR(__xludf.DUMMYFUNCTION("INDEX(GOOGLEFINANCE($A39,""price"",I40),2,2)"),1.63)</f>
        <v>1.63</v>
      </c>
      <c r="J41" s="5">
        <f>IFERROR(__xludf.DUMMYFUNCTION("INDEX(GOOGLEFINANCE($A39,""price"",J40),2,2)"),1.46)</f>
        <v>1.46</v>
      </c>
      <c r="K41" s="5">
        <f>IFERROR(__xludf.DUMMYFUNCTION("INDEX(GOOGLEFINANCE($A39,""price"",K40),2,2)"),1.44)</f>
        <v>1.44</v>
      </c>
      <c r="L41" s="5">
        <f>IFERROR(__xludf.DUMMYFUNCTION("INDEX(GOOGLEFINANCE($A39,""price"",L40),2,2)"),1.6)</f>
        <v>1.6</v>
      </c>
      <c r="M41" s="5">
        <f>IFERROR(__xludf.DUMMYFUNCTION("INDEX(GOOGLEFINANCE($A39,""price"",M40),2,2)"),1.49)</f>
        <v>1.49</v>
      </c>
      <c r="N41" s="5">
        <f>IFERROR(__xludf.DUMMYFUNCTION("INDEX(GOOGLEFINANCE($A39,""price"",N40),2,2)"),1.35)</f>
        <v>1.35</v>
      </c>
      <c r="O41" s="5">
        <f>IFERROR(__xludf.DUMMYFUNCTION("INDEX(GOOGLEFINANCE($A39,""price"",O40),2,2)"),1.4)</f>
        <v>1.4</v>
      </c>
      <c r="P41" s="6"/>
    </row>
    <row r="42">
      <c r="A42" s="3" t="s">
        <v>3</v>
      </c>
      <c r="C42" s="6">
        <f t="shared" ref="C42:O42" si="8">(C41-$B41)/$B41</f>
        <v>-0.09841269841</v>
      </c>
      <c r="D42" s="6">
        <f t="shared" si="8"/>
        <v>-0.08253968254</v>
      </c>
      <c r="E42" s="6">
        <f t="shared" si="8"/>
        <v>-0.0380952381</v>
      </c>
      <c r="F42" s="6">
        <f t="shared" si="8"/>
        <v>-0.08888888889</v>
      </c>
      <c r="G42" s="6">
        <f t="shared" si="8"/>
        <v>-0.06984126984</v>
      </c>
      <c r="H42" s="6">
        <f t="shared" si="8"/>
        <v>-0.07619047619</v>
      </c>
      <c r="I42" s="6">
        <f t="shared" si="8"/>
        <v>-0.4825396825</v>
      </c>
      <c r="J42" s="6">
        <f t="shared" si="8"/>
        <v>-0.5365079365</v>
      </c>
      <c r="K42" s="6">
        <f t="shared" si="8"/>
        <v>-0.5428571429</v>
      </c>
      <c r="L42" s="6">
        <f t="shared" si="8"/>
        <v>-0.4920634921</v>
      </c>
      <c r="M42" s="6">
        <f t="shared" si="8"/>
        <v>-0.526984127</v>
      </c>
      <c r="N42" s="6">
        <f t="shared" si="8"/>
        <v>-0.5714285714</v>
      </c>
      <c r="O42" s="6">
        <f t="shared" si="8"/>
        <v>-0.5555555556</v>
      </c>
      <c r="P42" s="6"/>
    </row>
    <row r="43">
      <c r="P43" s="6"/>
    </row>
    <row r="44">
      <c r="A44" s="2" t="s">
        <v>11</v>
      </c>
      <c r="P44" s="6"/>
    </row>
    <row r="45">
      <c r="A45" s="3" t="s">
        <v>1</v>
      </c>
      <c r="B45" s="1">
        <v>44958.0</v>
      </c>
      <c r="C45" s="1">
        <v>44965.0</v>
      </c>
      <c r="D45" s="1">
        <v>44972.0</v>
      </c>
      <c r="E45" s="1">
        <v>44979.0</v>
      </c>
      <c r="F45" s="1">
        <v>44986.0</v>
      </c>
      <c r="G45" s="1">
        <v>44993.0</v>
      </c>
      <c r="H45" s="1">
        <v>45000.0</v>
      </c>
      <c r="I45" s="1">
        <v>45007.0</v>
      </c>
      <c r="J45" s="1">
        <v>45014.0</v>
      </c>
      <c r="K45" s="1">
        <v>45021.0</v>
      </c>
      <c r="L45" s="1">
        <v>45028.0</v>
      </c>
      <c r="M45" s="1">
        <v>45035.0</v>
      </c>
      <c r="N45" s="1">
        <v>45042.0</v>
      </c>
      <c r="O45" s="1">
        <v>45049.0</v>
      </c>
      <c r="P45" s="6"/>
    </row>
    <row r="46">
      <c r="A46" s="3" t="s">
        <v>2</v>
      </c>
      <c r="B46" s="5">
        <f>IFERROR(__xludf.DUMMYFUNCTION("INDEX(GOOGLEFINANCE($A44,""price"",B45),2,2)"),43.3)</f>
        <v>43.3</v>
      </c>
      <c r="C46" s="5">
        <f>IFERROR(__xludf.DUMMYFUNCTION("INDEX(GOOGLEFINANCE($A44,""price"",C45),2,2)"),42.6)</f>
        <v>42.6</v>
      </c>
      <c r="D46" s="5">
        <f>IFERROR(__xludf.DUMMYFUNCTION("INDEX(GOOGLEFINANCE($A44,""price"",D45),2,2)"),42.42)</f>
        <v>42.42</v>
      </c>
      <c r="E46" s="5">
        <f>IFERROR(__xludf.DUMMYFUNCTION("INDEX(GOOGLEFINANCE($A44,""price"",E45),2,2)"),42.05)</f>
        <v>42.05</v>
      </c>
      <c r="F46" s="5">
        <f>IFERROR(__xludf.DUMMYFUNCTION("INDEX(GOOGLEFINANCE($A44,""price"",F45),2,2)"),45.57)</f>
        <v>45.57</v>
      </c>
      <c r="G46" s="5">
        <f>IFERROR(__xludf.DUMMYFUNCTION("INDEX(GOOGLEFINANCE($A44,""price"",G45),2,2)"),44.0)</f>
        <v>44</v>
      </c>
      <c r="H46" s="5">
        <f>IFERROR(__xludf.DUMMYFUNCTION("INDEX(GOOGLEFINANCE($A44,""price"",H45),2,2)"),37.86)</f>
        <v>37.86</v>
      </c>
      <c r="I46" s="5">
        <f>IFERROR(__xludf.DUMMYFUNCTION("INDEX(GOOGLEFINANCE($A44,""price"",I45),2,2)"),38.01)</f>
        <v>38.01</v>
      </c>
      <c r="J46" s="5">
        <f>IFERROR(__xludf.DUMMYFUNCTION("INDEX(GOOGLEFINANCE($A44,""price"",J45),2,2)"),39.31)</f>
        <v>39.31</v>
      </c>
      <c r="K46" s="5">
        <f>IFERROR(__xludf.DUMMYFUNCTION("INDEX(GOOGLEFINANCE($A44,""price"",K45),2,2)"),39.26)</f>
        <v>39.26</v>
      </c>
      <c r="L46" s="5">
        <f>IFERROR(__xludf.DUMMYFUNCTION("INDEX(GOOGLEFINANCE($A44,""price"",L45),2,2)"),39.86)</f>
        <v>39.86</v>
      </c>
      <c r="M46" s="5">
        <f>IFERROR(__xludf.DUMMYFUNCTION("INDEX(GOOGLEFINANCE($A44,""price"",M45),2,2)"),41.43)</f>
        <v>41.43</v>
      </c>
      <c r="N46" s="5">
        <f>IFERROR(__xludf.DUMMYFUNCTION("INDEX(GOOGLEFINANCE($A44,""price"",N45),2,2)"),40.29)</f>
        <v>40.29</v>
      </c>
      <c r="O46" s="5">
        <f>IFERROR(__xludf.DUMMYFUNCTION("INDEX(GOOGLEFINANCE($A44,""price"",O45),2,2)"),43.88)</f>
        <v>43.88</v>
      </c>
      <c r="P46" s="6"/>
    </row>
    <row r="47">
      <c r="A47" s="3" t="s">
        <v>3</v>
      </c>
      <c r="C47" s="6">
        <f t="shared" ref="C47:O47" si="9">(C46-$B46)/$B46</f>
        <v>-0.01616628176</v>
      </c>
      <c r="D47" s="6">
        <f t="shared" si="9"/>
        <v>-0.02032332564</v>
      </c>
      <c r="E47" s="6">
        <f t="shared" si="9"/>
        <v>-0.02886836028</v>
      </c>
      <c r="F47" s="6">
        <f t="shared" si="9"/>
        <v>0.05242494226</v>
      </c>
      <c r="G47" s="6">
        <f t="shared" si="9"/>
        <v>0.01616628176</v>
      </c>
      <c r="H47" s="6">
        <f t="shared" si="9"/>
        <v>-0.1256351039</v>
      </c>
      <c r="I47" s="6">
        <f t="shared" si="9"/>
        <v>-0.1221709007</v>
      </c>
      <c r="J47" s="6">
        <f t="shared" si="9"/>
        <v>-0.092147806</v>
      </c>
      <c r="K47" s="6">
        <f t="shared" si="9"/>
        <v>-0.09330254042</v>
      </c>
      <c r="L47" s="6">
        <f t="shared" si="9"/>
        <v>-0.07944572748</v>
      </c>
      <c r="M47" s="6">
        <f t="shared" si="9"/>
        <v>-0.04318706697</v>
      </c>
      <c r="N47" s="6">
        <f t="shared" si="9"/>
        <v>-0.06951501155</v>
      </c>
      <c r="O47" s="6">
        <f t="shared" si="9"/>
        <v>0.01339491917</v>
      </c>
      <c r="P47" s="6"/>
    </row>
    <row r="48">
      <c r="P48" s="6"/>
    </row>
    <row r="49">
      <c r="A49" s="2" t="s">
        <v>12</v>
      </c>
      <c r="P49" s="6"/>
    </row>
    <row r="50">
      <c r="A50" s="3" t="s">
        <v>1</v>
      </c>
      <c r="B50" s="1">
        <v>44958.0</v>
      </c>
      <c r="C50" s="1">
        <v>44965.0</v>
      </c>
      <c r="D50" s="1">
        <v>44972.0</v>
      </c>
      <c r="E50" s="1">
        <v>44979.0</v>
      </c>
      <c r="F50" s="1">
        <v>44986.0</v>
      </c>
      <c r="G50" s="1">
        <v>44993.0</v>
      </c>
      <c r="H50" s="1">
        <v>45000.0</v>
      </c>
      <c r="I50" s="1">
        <v>45007.0</v>
      </c>
      <c r="J50" s="1">
        <v>45014.0</v>
      </c>
      <c r="K50" s="1">
        <v>45021.0</v>
      </c>
      <c r="L50" s="1">
        <v>45028.0</v>
      </c>
      <c r="M50" s="1">
        <v>45035.0</v>
      </c>
      <c r="N50" s="1">
        <v>45042.0</v>
      </c>
      <c r="O50" s="1">
        <v>45049.0</v>
      </c>
      <c r="P50" s="6"/>
    </row>
    <row r="51">
      <c r="A51" s="3" t="s">
        <v>2</v>
      </c>
      <c r="B51" s="5">
        <f>IFERROR(__xludf.DUMMYFUNCTION("INDEX(GOOGLEFINANCE($A49,""price"",B50),2,2)"),164.92)</f>
        <v>164.92</v>
      </c>
      <c r="C51" s="5">
        <f>IFERROR(__xludf.DUMMYFUNCTION("INDEX(GOOGLEFINANCE($A49,""price"",C50),2,2)"),163.61)</f>
        <v>163.61</v>
      </c>
      <c r="D51" s="5">
        <f>IFERROR(__xludf.DUMMYFUNCTION("INDEX(GOOGLEFINANCE($A49,""price"",D50),2,2)"),159.37)</f>
        <v>159.37</v>
      </c>
      <c r="E51" s="5">
        <f>IFERROR(__xludf.DUMMYFUNCTION("INDEX(GOOGLEFINANCE($A49,""price"",E50),2,2)"),157.78)</f>
        <v>157.78</v>
      </c>
      <c r="F51" s="5">
        <f>IFERROR(__xludf.DUMMYFUNCTION("INDEX(GOOGLEFINANCE($A49,""price"",F50),2,2)"),152.57)</f>
        <v>152.57</v>
      </c>
      <c r="G51" s="5">
        <f>IFERROR(__xludf.DUMMYFUNCTION("INDEX(GOOGLEFINANCE($A49,""price"",G50),2,2)"),152.96)</f>
        <v>152.96</v>
      </c>
      <c r="H51" s="5">
        <f>IFERROR(__xludf.DUMMYFUNCTION("INDEX(GOOGLEFINANCE($A49,""price"",H50),2,2)"),154.35)</f>
        <v>154.35</v>
      </c>
      <c r="I51" s="5">
        <f>IFERROR(__xludf.DUMMYFUNCTION("INDEX(GOOGLEFINANCE($A49,""price"",I50),2,2)"),151.05)</f>
        <v>151.05</v>
      </c>
      <c r="J51" s="5">
        <f>IFERROR(__xludf.DUMMYFUNCTION("INDEX(GOOGLEFINANCE($A49,""price"",J50),2,2)"),153.31)</f>
        <v>153.31</v>
      </c>
      <c r="K51" s="5">
        <f>IFERROR(__xludf.DUMMYFUNCTION("INDEX(GOOGLEFINANCE($A49,""price"",K50),2,2)"),165.61)</f>
        <v>165.61</v>
      </c>
      <c r="L51" s="5">
        <f>IFERROR(__xludf.DUMMYFUNCTION("INDEX(GOOGLEFINANCE($A49,""price"",L50),2,2)"),163.92)</f>
        <v>163.92</v>
      </c>
      <c r="M51" s="5">
        <f>IFERROR(__xludf.DUMMYFUNCTION("INDEX(GOOGLEFINANCE($A49,""price"",M50),2,2)"),162.53)</f>
        <v>162.53</v>
      </c>
      <c r="N51" s="5">
        <f>IFERROR(__xludf.DUMMYFUNCTION("INDEX(GOOGLEFINANCE($A49,""price"",N50),2,2)"),162.62)</f>
        <v>162.62</v>
      </c>
      <c r="O51" s="5">
        <f>IFERROR(__xludf.DUMMYFUNCTION("INDEX(GOOGLEFINANCE($A49,""price"",O50),2,2)"),162.87)</f>
        <v>162.87</v>
      </c>
      <c r="P51" s="6"/>
    </row>
    <row r="52">
      <c r="A52" s="3" t="s">
        <v>3</v>
      </c>
      <c r="C52" s="6">
        <f t="shared" ref="C52:O52" si="10">(C51-$B51)/$B51</f>
        <v>-0.00794324521</v>
      </c>
      <c r="D52" s="6">
        <f t="shared" si="10"/>
        <v>-0.03365268009</v>
      </c>
      <c r="E52" s="6">
        <f t="shared" si="10"/>
        <v>-0.04329371817</v>
      </c>
      <c r="F52" s="6">
        <f t="shared" si="10"/>
        <v>-0.07488479263</v>
      </c>
      <c r="G52" s="6">
        <f t="shared" si="10"/>
        <v>-0.0725200097</v>
      </c>
      <c r="H52" s="6">
        <f t="shared" si="10"/>
        <v>-0.06409168081</v>
      </c>
      <c r="I52" s="6">
        <f t="shared" si="10"/>
        <v>-0.08410138249</v>
      </c>
      <c r="J52" s="6">
        <f t="shared" si="10"/>
        <v>-0.07039776862</v>
      </c>
      <c r="K52" s="6">
        <f t="shared" si="10"/>
        <v>0.004183846714</v>
      </c>
      <c r="L52" s="6">
        <f t="shared" si="10"/>
        <v>-0.006063545962</v>
      </c>
      <c r="M52" s="6">
        <f t="shared" si="10"/>
        <v>-0.01449187485</v>
      </c>
      <c r="N52" s="6">
        <f t="shared" si="10"/>
        <v>-0.01394615571</v>
      </c>
      <c r="O52" s="6">
        <f t="shared" si="10"/>
        <v>-0.01243026922</v>
      </c>
      <c r="P52" s="6"/>
    </row>
    <row r="53">
      <c r="P53" s="6"/>
    </row>
    <row r="54">
      <c r="A54" s="2" t="s">
        <v>13</v>
      </c>
      <c r="P54" s="6"/>
    </row>
    <row r="55">
      <c r="A55" s="3" t="s">
        <v>1</v>
      </c>
      <c r="B55" s="1">
        <v>44958.0</v>
      </c>
      <c r="C55" s="1">
        <v>44965.0</v>
      </c>
      <c r="D55" s="1">
        <v>44972.0</v>
      </c>
      <c r="E55" s="1">
        <v>44979.0</v>
      </c>
      <c r="F55" s="1">
        <v>44986.0</v>
      </c>
      <c r="G55" s="1">
        <v>44993.0</v>
      </c>
      <c r="H55" s="1">
        <v>45000.0</v>
      </c>
      <c r="I55" s="1">
        <v>45007.0</v>
      </c>
      <c r="J55" s="1">
        <v>45014.0</v>
      </c>
      <c r="K55" s="1">
        <v>45021.0</v>
      </c>
      <c r="L55" s="1">
        <v>45028.0</v>
      </c>
      <c r="M55" s="1">
        <v>45035.0</v>
      </c>
      <c r="N55" s="1">
        <v>45042.0</v>
      </c>
      <c r="O55" s="1">
        <v>45049.0</v>
      </c>
      <c r="P55" s="6"/>
    </row>
    <row r="56">
      <c r="A56" s="3" t="s">
        <v>2</v>
      </c>
      <c r="B56" s="5">
        <f>IFERROR(__xludf.DUMMYFUNCTION("INDEX(GOOGLEFINANCE($A54,""price"",B55),2,2)"),8.36)</f>
        <v>8.36</v>
      </c>
      <c r="C56" s="5">
        <f>IFERROR(__xludf.DUMMYFUNCTION("INDEX(GOOGLEFINANCE($A54,""price"",C55),2,2)"),8.16)</f>
        <v>8.16</v>
      </c>
      <c r="D56" s="5">
        <f>IFERROR(__xludf.DUMMYFUNCTION("INDEX(GOOGLEFINANCE($A54,""price"",D55),2,2)"),8.27)</f>
        <v>8.27</v>
      </c>
      <c r="E56" s="5">
        <f>IFERROR(__xludf.DUMMYFUNCTION("INDEX(GOOGLEFINANCE($A54,""price"",E55),2,2)"),7.57)</f>
        <v>7.57</v>
      </c>
      <c r="F56" s="5">
        <f>IFERROR(__xludf.DUMMYFUNCTION("INDEX(GOOGLEFINANCE($A54,""price"",F55),2,2)"),8.2)</f>
        <v>8.2</v>
      </c>
      <c r="G56" s="5">
        <f>IFERROR(__xludf.DUMMYFUNCTION("INDEX(GOOGLEFINANCE($A54,""price"",G55),2,2)"),8.4)</f>
        <v>8.4</v>
      </c>
      <c r="H56" s="5">
        <f>IFERROR(__xludf.DUMMYFUNCTION("INDEX(GOOGLEFINANCE($A54,""price"",H55),2,2)"),7.64)</f>
        <v>7.64</v>
      </c>
      <c r="I56" s="5">
        <f>IFERROR(__xludf.DUMMYFUNCTION("INDEX(GOOGLEFINANCE($A54,""price"",I55),2,2)"),7.59)</f>
        <v>7.59</v>
      </c>
      <c r="J56" s="5">
        <f>IFERROR(__xludf.DUMMYFUNCTION("INDEX(GOOGLEFINANCE($A54,""price"",J55),2,2)"),7.71)</f>
        <v>7.71</v>
      </c>
      <c r="K56" s="5">
        <f>IFERROR(__xludf.DUMMYFUNCTION("INDEX(GOOGLEFINANCE($A54,""price"",K55),2,2)"),7.42)</f>
        <v>7.42</v>
      </c>
      <c r="L56" s="5">
        <f>IFERROR(__xludf.DUMMYFUNCTION("INDEX(GOOGLEFINANCE($A54,""price"",L55),2,2)"),7.79)</f>
        <v>7.79</v>
      </c>
      <c r="M56" s="5">
        <f>IFERROR(__xludf.DUMMYFUNCTION("INDEX(GOOGLEFINANCE($A54,""price"",M55),2,2)"),7.78)</f>
        <v>7.78</v>
      </c>
      <c r="N56" s="5">
        <f>IFERROR(__xludf.DUMMYFUNCTION("INDEX(GOOGLEFINANCE($A54,""price"",N55),2,2)"),7.21)</f>
        <v>7.21</v>
      </c>
      <c r="O56" s="5">
        <f>IFERROR(__xludf.DUMMYFUNCTION("INDEX(GOOGLEFINANCE($A54,""price"",O55),2,2)"),7.03)</f>
        <v>7.03</v>
      </c>
      <c r="P56" s="6"/>
    </row>
    <row r="57">
      <c r="A57" s="3" t="s">
        <v>3</v>
      </c>
      <c r="C57" s="6">
        <f t="shared" ref="C57:O57" si="11">(C56-$B56)/$B56</f>
        <v>-0.02392344498</v>
      </c>
      <c r="D57" s="6">
        <f t="shared" si="11"/>
        <v>-0.01076555024</v>
      </c>
      <c r="E57" s="6">
        <f t="shared" si="11"/>
        <v>-0.09449760766</v>
      </c>
      <c r="F57" s="6">
        <f t="shared" si="11"/>
        <v>-0.01913875598</v>
      </c>
      <c r="G57" s="6">
        <f t="shared" si="11"/>
        <v>0.004784688995</v>
      </c>
      <c r="H57" s="6">
        <f t="shared" si="11"/>
        <v>-0.08612440191</v>
      </c>
      <c r="I57" s="6">
        <f t="shared" si="11"/>
        <v>-0.09210526316</v>
      </c>
      <c r="J57" s="6">
        <f t="shared" si="11"/>
        <v>-0.07775119617</v>
      </c>
      <c r="K57" s="6">
        <f t="shared" si="11"/>
        <v>-0.1124401914</v>
      </c>
      <c r="L57" s="6">
        <f t="shared" si="11"/>
        <v>-0.06818181818</v>
      </c>
      <c r="M57" s="6">
        <f t="shared" si="11"/>
        <v>-0.06937799043</v>
      </c>
      <c r="N57" s="6">
        <f t="shared" si="11"/>
        <v>-0.1375598086</v>
      </c>
      <c r="O57" s="6">
        <f t="shared" si="11"/>
        <v>-0.1590909091</v>
      </c>
      <c r="P57" s="6"/>
    </row>
    <row r="58">
      <c r="P58" s="6"/>
    </row>
    <row r="59">
      <c r="A59" s="2" t="s">
        <v>14</v>
      </c>
      <c r="P59" s="6"/>
    </row>
    <row r="60">
      <c r="A60" s="3" t="s">
        <v>1</v>
      </c>
      <c r="B60" s="1">
        <v>44958.0</v>
      </c>
      <c r="C60" s="1">
        <v>44965.0</v>
      </c>
      <c r="D60" s="1">
        <v>44972.0</v>
      </c>
      <c r="E60" s="1">
        <v>44979.0</v>
      </c>
      <c r="F60" s="1">
        <v>44986.0</v>
      </c>
      <c r="G60" s="1">
        <v>44993.0</v>
      </c>
      <c r="H60" s="1">
        <v>45000.0</v>
      </c>
      <c r="I60" s="1">
        <v>45007.0</v>
      </c>
      <c r="J60" s="1">
        <v>45014.0</v>
      </c>
      <c r="K60" s="1">
        <v>45021.0</v>
      </c>
      <c r="L60" s="1">
        <v>45028.0</v>
      </c>
      <c r="M60" s="1">
        <v>45035.0</v>
      </c>
      <c r="N60" s="1">
        <v>45042.0</v>
      </c>
      <c r="O60" s="1">
        <v>45049.0</v>
      </c>
      <c r="P60" s="6"/>
    </row>
    <row r="61">
      <c r="A61" s="3" t="s">
        <v>2</v>
      </c>
      <c r="B61" s="5">
        <f>IFERROR(__xludf.DUMMYFUNCTION("INDEX(GOOGLEFINANCE($A59,""price"",B60),2,2)"),275.3)</f>
        <v>275.3</v>
      </c>
      <c r="C61" s="5">
        <f>IFERROR(__xludf.DUMMYFUNCTION("INDEX(GOOGLEFINANCE($A59,""price"",C60),2,2)"),289.97)</f>
        <v>289.97</v>
      </c>
      <c r="D61" s="5">
        <f>IFERROR(__xludf.DUMMYFUNCTION("INDEX(GOOGLEFINANCE($A59,""price"",D60),2,2)"),290.82)</f>
        <v>290.82</v>
      </c>
      <c r="E61" s="5">
        <f>IFERROR(__xludf.DUMMYFUNCTION("INDEX(GOOGLEFINANCE($A59,""price"",E60),2,2)"),275.59)</f>
        <v>275.59</v>
      </c>
      <c r="F61" s="5">
        <f>IFERROR(__xludf.DUMMYFUNCTION("INDEX(GOOGLEFINANCE($A59,""price"",F60),2,2)"),286.68)</f>
        <v>286.68</v>
      </c>
      <c r="G61" s="5">
        <f>IFERROR(__xludf.DUMMYFUNCTION("INDEX(GOOGLEFINANCE($A59,""price"",G60),2,2)"),294.8)</f>
        <v>294.8</v>
      </c>
      <c r="H61" s="5">
        <f>IFERROR(__xludf.DUMMYFUNCTION("INDEX(GOOGLEFINANCE($A59,""price"",H60),2,2)"),280.31)</f>
        <v>280.31</v>
      </c>
      <c r="I61" s="5">
        <f>IFERROR(__xludf.DUMMYFUNCTION("INDEX(GOOGLEFINANCE($A59,""price"",I60),2,2)"),289.45)</f>
        <v>289.45</v>
      </c>
      <c r="J61" s="5">
        <f>IFERROR(__xludf.DUMMYFUNCTION("INDEX(GOOGLEFINANCE($A59,""price"",J60),2,2)"),304.99)</f>
        <v>304.99</v>
      </c>
      <c r="K61" s="5">
        <f>IFERROR(__xludf.DUMMYFUNCTION("INDEX(GOOGLEFINANCE($A59,""price"",K60),2,2)"),293.94)</f>
        <v>293.94</v>
      </c>
      <c r="L61" s="5">
        <f>IFERROR(__xludf.DUMMYFUNCTION("INDEX(GOOGLEFINANCE($A59,""price"",L60),2,2)"),288.29)</f>
        <v>288.29</v>
      </c>
      <c r="M61" s="5">
        <f>IFERROR(__xludf.DUMMYFUNCTION("INDEX(GOOGLEFINANCE($A59,""price"",M60),2,2)"),303.74)</f>
        <v>303.74</v>
      </c>
      <c r="N61" s="5">
        <f>IFERROR(__xludf.DUMMYFUNCTION("INDEX(GOOGLEFINANCE($A59,""price"",N60),2,2)"),287.71)</f>
        <v>287.71</v>
      </c>
      <c r="O61" s="5">
        <f>IFERROR(__xludf.DUMMYFUNCTION("INDEX(GOOGLEFINANCE($A59,""price"",O60),2,2)"),295.8)</f>
        <v>295.8</v>
      </c>
      <c r="P61" s="6"/>
    </row>
    <row r="62">
      <c r="A62" s="3" t="s">
        <v>3</v>
      </c>
      <c r="C62" s="6">
        <f t="shared" ref="C62:O62" si="12">(C61-$B61)/$B61</f>
        <v>0.05328732292</v>
      </c>
      <c r="D62" s="6">
        <f t="shared" si="12"/>
        <v>0.05637486378</v>
      </c>
      <c r="E62" s="6">
        <f t="shared" si="12"/>
        <v>0.001053396295</v>
      </c>
      <c r="F62" s="6">
        <f t="shared" si="12"/>
        <v>0.04133672357</v>
      </c>
      <c r="G62" s="6">
        <f t="shared" si="12"/>
        <v>0.07083181983</v>
      </c>
      <c r="H62" s="6">
        <f t="shared" si="12"/>
        <v>0.0181983291</v>
      </c>
      <c r="I62" s="6">
        <f t="shared" si="12"/>
        <v>0.05139847439</v>
      </c>
      <c r="J62" s="6">
        <f t="shared" si="12"/>
        <v>0.1078459862</v>
      </c>
      <c r="K62" s="6">
        <f t="shared" si="12"/>
        <v>0.06770795496</v>
      </c>
      <c r="L62" s="6">
        <f t="shared" si="12"/>
        <v>0.04718488921</v>
      </c>
      <c r="M62" s="6">
        <f t="shared" si="12"/>
        <v>0.1033054849</v>
      </c>
      <c r="N62" s="6">
        <f t="shared" si="12"/>
        <v>0.04507809662</v>
      </c>
      <c r="O62" s="6">
        <f t="shared" si="12"/>
        <v>0.07446422085</v>
      </c>
      <c r="P62" s="6"/>
    </row>
    <row r="63">
      <c r="A63" s="8"/>
      <c r="P63" s="6"/>
    </row>
    <row r="64">
      <c r="A64" s="2" t="s">
        <v>15</v>
      </c>
      <c r="P64" s="6"/>
    </row>
    <row r="65">
      <c r="A65" s="3" t="s">
        <v>1</v>
      </c>
      <c r="B65" s="1">
        <v>44958.0</v>
      </c>
      <c r="C65" s="1">
        <v>44965.0</v>
      </c>
      <c r="D65" s="1">
        <v>44972.0</v>
      </c>
      <c r="E65" s="1">
        <v>44979.0</v>
      </c>
      <c r="F65" s="1">
        <v>44986.0</v>
      </c>
      <c r="G65" s="1">
        <v>44993.0</v>
      </c>
      <c r="H65" s="1">
        <v>45000.0</v>
      </c>
      <c r="I65" s="1">
        <v>45007.0</v>
      </c>
      <c r="J65" s="1">
        <v>45014.0</v>
      </c>
      <c r="K65" s="1">
        <v>45021.0</v>
      </c>
      <c r="L65" s="1">
        <v>45028.0</v>
      </c>
      <c r="M65" s="1">
        <v>45035.0</v>
      </c>
      <c r="N65" s="1">
        <v>45042.0</v>
      </c>
      <c r="O65" s="1">
        <v>45049.0</v>
      </c>
      <c r="P65" s="6"/>
    </row>
    <row r="66">
      <c r="A66" s="3" t="s">
        <v>2</v>
      </c>
      <c r="B66" s="5">
        <f>IFERROR(__xludf.DUMMYFUNCTION("INDEX(GOOGLEFINANCE($A64,""price"",B65),2,2)"),9.16)</f>
        <v>9.16</v>
      </c>
      <c r="C66" s="5">
        <f>IFERROR(__xludf.DUMMYFUNCTION("INDEX(GOOGLEFINANCE($A64,""price"",C65),2,2)"),8.97)</f>
        <v>8.97</v>
      </c>
      <c r="D66" s="5">
        <f>IFERROR(__xludf.DUMMYFUNCTION("INDEX(GOOGLEFINANCE($A64,""price"",D65),2,2)"),8.5)</f>
        <v>8.5</v>
      </c>
      <c r="E66" s="5">
        <f>IFERROR(__xludf.DUMMYFUNCTION("INDEX(GOOGLEFINANCE($A64,""price"",E65),2,2)"),7.71)</f>
        <v>7.71</v>
      </c>
      <c r="F66" s="5">
        <f>IFERROR(__xludf.DUMMYFUNCTION("INDEX(GOOGLEFINANCE($A64,""price"",F65),2,2)"),8.49)</f>
        <v>8.49</v>
      </c>
      <c r="G66" s="5">
        <f>IFERROR(__xludf.DUMMYFUNCTION("INDEX(GOOGLEFINANCE($A64,""price"",G65),2,2)"),8.52)</f>
        <v>8.52</v>
      </c>
      <c r="H66" s="5">
        <f>IFERROR(__xludf.DUMMYFUNCTION("INDEX(GOOGLEFINANCE($A64,""price"",H65),2,2)"),7.56)</f>
        <v>7.56</v>
      </c>
      <c r="I66" s="5">
        <f>IFERROR(__xludf.DUMMYFUNCTION("INDEX(GOOGLEFINANCE($A64,""price"",I65),2,2)"),7.86)</f>
        <v>7.86</v>
      </c>
      <c r="J66" s="5">
        <f>IFERROR(__xludf.DUMMYFUNCTION("INDEX(GOOGLEFINANCE($A64,""price"",J65),2,2)"),7.68)</f>
        <v>7.68</v>
      </c>
      <c r="K66" s="5">
        <f>IFERROR(__xludf.DUMMYFUNCTION("INDEX(GOOGLEFINANCE($A64,""price"",K65),2,2)"),6.71)</f>
        <v>6.71</v>
      </c>
      <c r="L66" s="5">
        <f>IFERROR(__xludf.DUMMYFUNCTION("INDEX(GOOGLEFINANCE($A64,""price"",L65),2,2)"),6.77)</f>
        <v>6.77</v>
      </c>
      <c r="M66" s="5">
        <f>IFERROR(__xludf.DUMMYFUNCTION("INDEX(GOOGLEFINANCE($A64,""price"",M65),2,2)"),6.67)</f>
        <v>6.67</v>
      </c>
      <c r="N66" s="5">
        <f>IFERROR(__xludf.DUMMYFUNCTION("INDEX(GOOGLEFINANCE($A64,""price"",N65),2,2)"),6.08)</f>
        <v>6.08</v>
      </c>
      <c r="O66" s="5">
        <f>IFERROR(__xludf.DUMMYFUNCTION("INDEX(GOOGLEFINANCE($A64,""price"",O65),2,2)"),6.15)</f>
        <v>6.15</v>
      </c>
      <c r="P66" s="6"/>
    </row>
    <row r="67">
      <c r="A67" s="3" t="s">
        <v>3</v>
      </c>
      <c r="C67" s="6">
        <f t="shared" ref="C67:O67" si="13">(C66-$B66)/$B66</f>
        <v>-0.02074235808</v>
      </c>
      <c r="D67" s="6">
        <f t="shared" si="13"/>
        <v>-0.07205240175</v>
      </c>
      <c r="E67" s="6">
        <f t="shared" si="13"/>
        <v>-0.1582969432</v>
      </c>
      <c r="F67" s="6">
        <f t="shared" si="13"/>
        <v>-0.0731441048</v>
      </c>
      <c r="G67" s="6">
        <f t="shared" si="13"/>
        <v>-0.06986899563</v>
      </c>
      <c r="H67" s="6">
        <f t="shared" si="13"/>
        <v>-0.1746724891</v>
      </c>
      <c r="I67" s="6">
        <f t="shared" si="13"/>
        <v>-0.1419213974</v>
      </c>
      <c r="J67" s="6">
        <f t="shared" si="13"/>
        <v>-0.1615720524</v>
      </c>
      <c r="K67" s="6">
        <f t="shared" si="13"/>
        <v>-0.2674672489</v>
      </c>
      <c r="L67" s="6">
        <f t="shared" si="13"/>
        <v>-0.2609170306</v>
      </c>
      <c r="M67" s="6">
        <f t="shared" si="13"/>
        <v>-0.2718340611</v>
      </c>
      <c r="N67" s="6">
        <f t="shared" si="13"/>
        <v>-0.3362445415</v>
      </c>
      <c r="O67" s="6">
        <f t="shared" si="13"/>
        <v>-0.3286026201</v>
      </c>
      <c r="P67" s="6"/>
    </row>
    <row r="68">
      <c r="P68" s="6"/>
    </row>
    <row r="69">
      <c r="A69" s="2" t="s">
        <v>16</v>
      </c>
      <c r="P69" s="6"/>
    </row>
    <row r="70">
      <c r="A70" s="3" t="s">
        <v>1</v>
      </c>
      <c r="B70" s="1">
        <v>44958.0</v>
      </c>
      <c r="C70" s="1">
        <v>44965.0</v>
      </c>
      <c r="D70" s="1">
        <v>44972.0</v>
      </c>
      <c r="E70" s="1">
        <v>44979.0</v>
      </c>
      <c r="F70" s="1">
        <v>44986.0</v>
      </c>
      <c r="G70" s="1">
        <v>44993.0</v>
      </c>
      <c r="H70" s="1">
        <v>45000.0</v>
      </c>
      <c r="I70" s="1">
        <v>45007.0</v>
      </c>
      <c r="J70" s="1">
        <v>45014.0</v>
      </c>
      <c r="K70" s="1">
        <v>45021.0</v>
      </c>
      <c r="L70" s="1">
        <v>45028.0</v>
      </c>
      <c r="M70" s="1">
        <v>45035.0</v>
      </c>
      <c r="N70" s="1">
        <v>45042.0</v>
      </c>
      <c r="O70" s="1">
        <v>45049.0</v>
      </c>
      <c r="P70" s="6"/>
    </row>
    <row r="71">
      <c r="A71" s="3" t="s">
        <v>2</v>
      </c>
      <c r="B71" s="5">
        <f>IFERROR(__xludf.DUMMYFUNCTION("INDEX(GOOGLEFINANCE($A69,""price"",B70),2,2)"),3.81)</f>
        <v>3.81</v>
      </c>
      <c r="C71" s="5">
        <f>IFERROR(__xludf.DUMMYFUNCTION("INDEX(GOOGLEFINANCE($A69,""price"",C70),2,2)"),3.84)</f>
        <v>3.84</v>
      </c>
      <c r="D71" s="5">
        <f>IFERROR(__xludf.DUMMYFUNCTION("INDEX(GOOGLEFINANCE($A69,""price"",D70),2,2)"),3.86)</f>
        <v>3.86</v>
      </c>
      <c r="E71" s="5">
        <f>IFERROR(__xludf.DUMMYFUNCTION("INDEX(GOOGLEFINANCE($A69,""price"",E70),2,2)"),3.81)</f>
        <v>3.81</v>
      </c>
      <c r="F71" s="5">
        <f>IFERROR(__xludf.DUMMYFUNCTION("INDEX(GOOGLEFINANCE($A69,""price"",F70),2,2)"),3.79)</f>
        <v>3.79</v>
      </c>
      <c r="G71" s="5">
        <f>IFERROR(__xludf.DUMMYFUNCTION("INDEX(GOOGLEFINANCE($A69,""price"",G70),2,2)"),3.8)</f>
        <v>3.8</v>
      </c>
      <c r="H71" s="5">
        <f>IFERROR(__xludf.DUMMYFUNCTION("INDEX(GOOGLEFINANCE($A69,""price"",H70),2,2)"),3.4)</f>
        <v>3.4</v>
      </c>
      <c r="I71" s="5">
        <f>IFERROR(__xludf.DUMMYFUNCTION("INDEX(GOOGLEFINANCE($A69,""price"",I70),2,2)"),3.52)</f>
        <v>3.52</v>
      </c>
      <c r="J71" s="5">
        <f>IFERROR(__xludf.DUMMYFUNCTION("INDEX(GOOGLEFINANCE($A69,""price"",J70),2,2)"),3.67)</f>
        <v>3.67</v>
      </c>
      <c r="K71" s="5">
        <f>IFERROR(__xludf.DUMMYFUNCTION("INDEX(GOOGLEFINANCE($A69,""price"",K70),2,2)"),3.76)</f>
        <v>3.76</v>
      </c>
      <c r="L71" s="5">
        <f>IFERROR(__xludf.DUMMYFUNCTION("INDEX(GOOGLEFINANCE($A69,""price"",L70),2,2)"),3.8)</f>
        <v>3.8</v>
      </c>
      <c r="M71" s="5">
        <f>IFERROR(__xludf.DUMMYFUNCTION("INDEX(GOOGLEFINANCE($A69,""price"",M70),2,2)"),3.53)</f>
        <v>3.53</v>
      </c>
      <c r="N71" s="5">
        <f>IFERROR(__xludf.DUMMYFUNCTION("INDEX(GOOGLEFINANCE($A69,""price"",N70),2,2)"),3.43)</f>
        <v>3.43</v>
      </c>
      <c r="O71" s="5">
        <f>IFERROR(__xludf.DUMMYFUNCTION("INDEX(GOOGLEFINANCE($A69,""price"",O70),2,2)"),3.28)</f>
        <v>3.28</v>
      </c>
      <c r="P71" s="6"/>
    </row>
    <row r="72">
      <c r="A72" s="3" t="s">
        <v>3</v>
      </c>
      <c r="C72" s="6">
        <f t="shared" ref="C72:O72" si="14">(C71-$B71)/$B71</f>
        <v>0.007874015748</v>
      </c>
      <c r="D72" s="6">
        <f t="shared" si="14"/>
        <v>0.01312335958</v>
      </c>
      <c r="E72" s="6">
        <f t="shared" si="14"/>
        <v>0</v>
      </c>
      <c r="F72" s="6">
        <f t="shared" si="14"/>
        <v>-0.005249343832</v>
      </c>
      <c r="G72" s="6">
        <f t="shared" si="14"/>
        <v>-0.002624671916</v>
      </c>
      <c r="H72" s="6">
        <f t="shared" si="14"/>
        <v>-0.1076115486</v>
      </c>
      <c r="I72" s="6">
        <f t="shared" si="14"/>
        <v>-0.07611548556</v>
      </c>
      <c r="J72" s="6">
        <f t="shared" si="14"/>
        <v>-0.03674540682</v>
      </c>
      <c r="K72" s="6">
        <f t="shared" si="14"/>
        <v>-0.01312335958</v>
      </c>
      <c r="L72" s="6">
        <f t="shared" si="14"/>
        <v>-0.002624671916</v>
      </c>
      <c r="M72" s="6">
        <f t="shared" si="14"/>
        <v>-0.07349081365</v>
      </c>
      <c r="N72" s="6">
        <f t="shared" si="14"/>
        <v>-0.09973753281</v>
      </c>
      <c r="O72" s="6">
        <f t="shared" si="14"/>
        <v>-0.1391076115</v>
      </c>
      <c r="P72" s="6"/>
    </row>
    <row r="73">
      <c r="P73" s="6"/>
    </row>
    <row r="74">
      <c r="A74" s="2" t="s">
        <v>17</v>
      </c>
      <c r="P74" s="6"/>
    </row>
    <row r="75">
      <c r="A75" s="3" t="s">
        <v>1</v>
      </c>
      <c r="B75" s="1">
        <v>44958.0</v>
      </c>
      <c r="C75" s="1">
        <v>44965.0</v>
      </c>
      <c r="D75" s="1">
        <v>44972.0</v>
      </c>
      <c r="E75" s="1">
        <v>44979.0</v>
      </c>
      <c r="F75" s="1">
        <v>44986.0</v>
      </c>
      <c r="G75" s="1">
        <v>44993.0</v>
      </c>
      <c r="H75" s="1">
        <v>45000.0</v>
      </c>
      <c r="I75" s="1">
        <v>45007.0</v>
      </c>
      <c r="J75" s="1">
        <v>45014.0</v>
      </c>
      <c r="K75" s="1">
        <v>45021.0</v>
      </c>
      <c r="L75" s="1">
        <v>45028.0</v>
      </c>
      <c r="M75" s="1">
        <v>45035.0</v>
      </c>
      <c r="N75" s="1">
        <v>45042.0</v>
      </c>
      <c r="O75" s="1">
        <v>45049.0</v>
      </c>
      <c r="P75" s="6"/>
    </row>
    <row r="76">
      <c r="A76" s="3" t="s">
        <v>2</v>
      </c>
      <c r="B76" s="5">
        <f>IFERROR(__xludf.DUMMYFUNCTION("INDEX(GOOGLEFINANCE($A74,""price"",B75),2,2)"),6.84)</f>
        <v>6.84</v>
      </c>
      <c r="C76" s="5">
        <f>IFERROR(__xludf.DUMMYFUNCTION("INDEX(GOOGLEFINANCE($A74,""price"",C75),2,2)"),6.8)</f>
        <v>6.8</v>
      </c>
      <c r="D76" s="5">
        <f>IFERROR(__xludf.DUMMYFUNCTION("INDEX(GOOGLEFINANCE($A74,""price"",D75),2,2)"),6.92)</f>
        <v>6.92</v>
      </c>
      <c r="E76" s="5">
        <f>IFERROR(__xludf.DUMMYFUNCTION("INDEX(GOOGLEFINANCE($A74,""price"",E75),2,2)"),6.53)</f>
        <v>6.53</v>
      </c>
      <c r="F76" s="5">
        <f>IFERROR(__xludf.DUMMYFUNCTION("INDEX(GOOGLEFINANCE($A74,""price"",F75),2,2)"),6.58)</f>
        <v>6.58</v>
      </c>
      <c r="G76" s="5">
        <f>IFERROR(__xludf.DUMMYFUNCTION("INDEX(GOOGLEFINANCE($A74,""price"",G75),2,2)"),6.81)</f>
        <v>6.81</v>
      </c>
      <c r="H76" s="5">
        <f>IFERROR(__xludf.DUMMYFUNCTION("INDEX(GOOGLEFINANCE($A74,""price"",H75),2,2)"),6.52)</f>
        <v>6.52</v>
      </c>
      <c r="I76" s="5">
        <f>IFERROR(__xludf.DUMMYFUNCTION("INDEX(GOOGLEFINANCE($A74,""price"",I75),2,2)"),6.2)</f>
        <v>6.2</v>
      </c>
      <c r="J76" s="5">
        <f>IFERROR(__xludf.DUMMYFUNCTION("INDEX(GOOGLEFINANCE($A74,""price"",J75),2,2)"),6.15)</f>
        <v>6.15</v>
      </c>
      <c r="K76" s="5">
        <f>IFERROR(__xludf.DUMMYFUNCTION("INDEX(GOOGLEFINANCE($A74,""price"",K75),2,2)"),6.2)</f>
        <v>6.2</v>
      </c>
      <c r="L76" s="5">
        <f>IFERROR(__xludf.DUMMYFUNCTION("INDEX(GOOGLEFINANCE($A74,""price"",L75),2,2)"),6.04)</f>
        <v>6.04</v>
      </c>
      <c r="M76" s="5">
        <f>IFERROR(__xludf.DUMMYFUNCTION("INDEX(GOOGLEFINANCE($A74,""price"",M75),2,2)"),6.17)</f>
        <v>6.17</v>
      </c>
      <c r="N76" s="5">
        <f>IFERROR(__xludf.DUMMYFUNCTION("INDEX(GOOGLEFINANCE($A74,""price"",N75),2,2)"),6.38)</f>
        <v>6.38</v>
      </c>
      <c r="O76" s="5">
        <f>IFERROR(__xludf.DUMMYFUNCTION("INDEX(GOOGLEFINANCE($A74,""price"",O75),2,2)"),5.92)</f>
        <v>5.92</v>
      </c>
      <c r="P76" s="6"/>
    </row>
    <row r="77">
      <c r="A77" s="3" t="s">
        <v>3</v>
      </c>
      <c r="C77" s="6">
        <f t="shared" ref="C77:O77" si="15">(C76-$B76)/$B76</f>
        <v>-0.005847953216</v>
      </c>
      <c r="D77" s="6">
        <f t="shared" si="15"/>
        <v>0.01169590643</v>
      </c>
      <c r="E77" s="6">
        <f t="shared" si="15"/>
        <v>-0.04532163743</v>
      </c>
      <c r="F77" s="6">
        <f t="shared" si="15"/>
        <v>-0.03801169591</v>
      </c>
      <c r="G77" s="6">
        <f t="shared" si="15"/>
        <v>-0.004385964912</v>
      </c>
      <c r="H77" s="6">
        <f t="shared" si="15"/>
        <v>-0.04678362573</v>
      </c>
      <c r="I77" s="6">
        <f t="shared" si="15"/>
        <v>-0.09356725146</v>
      </c>
      <c r="J77" s="6">
        <f t="shared" si="15"/>
        <v>-0.100877193</v>
      </c>
      <c r="K77" s="6">
        <f t="shared" si="15"/>
        <v>-0.09356725146</v>
      </c>
      <c r="L77" s="6">
        <f t="shared" si="15"/>
        <v>-0.1169590643</v>
      </c>
      <c r="M77" s="6">
        <f t="shared" si="15"/>
        <v>-0.09795321637</v>
      </c>
      <c r="N77" s="6">
        <f t="shared" si="15"/>
        <v>-0.06725146199</v>
      </c>
      <c r="O77" s="6">
        <f t="shared" si="15"/>
        <v>-0.134502924</v>
      </c>
      <c r="P77" s="6"/>
    </row>
    <row r="78">
      <c r="A78" s="8"/>
    </row>
    <row r="79">
      <c r="A79" s="2" t="s">
        <v>18</v>
      </c>
    </row>
    <row r="80">
      <c r="A80" s="3" t="s">
        <v>1</v>
      </c>
      <c r="B80" s="1">
        <v>44958.0</v>
      </c>
      <c r="C80" s="1">
        <v>44965.0</v>
      </c>
      <c r="D80" s="1">
        <v>44972.0</v>
      </c>
      <c r="E80" s="1">
        <v>44979.0</v>
      </c>
      <c r="F80" s="1">
        <v>44986.0</v>
      </c>
      <c r="G80" s="1">
        <v>44993.0</v>
      </c>
      <c r="H80" s="1">
        <v>45000.0</v>
      </c>
      <c r="I80" s="1">
        <v>45007.0</v>
      </c>
      <c r="J80" s="1">
        <v>45014.0</v>
      </c>
      <c r="K80" s="1">
        <v>45021.0</v>
      </c>
      <c r="L80" s="1">
        <v>45028.0</v>
      </c>
      <c r="M80" s="1">
        <v>45035.0</v>
      </c>
      <c r="N80" s="1">
        <v>45042.0</v>
      </c>
      <c r="O80" s="1">
        <v>45049.0</v>
      </c>
    </row>
    <row r="81">
      <c r="A81" s="3" t="s">
        <v>2</v>
      </c>
      <c r="B81" s="5">
        <f>IFERROR(__xludf.DUMMYFUNCTION("INDEX(GOOGLEFINANCE($A79,""price"",B80),2,2)"),20.95)</f>
        <v>20.95</v>
      </c>
      <c r="C81" s="5">
        <f>IFERROR(__xludf.DUMMYFUNCTION("INDEX(GOOGLEFINANCE($A79,""price"",C80),2,2)"),17.57)</f>
        <v>17.57</v>
      </c>
      <c r="D81" s="5">
        <f>IFERROR(__xludf.DUMMYFUNCTION("INDEX(GOOGLEFINANCE($A79,""price"",D80),2,2)"),17.19)</f>
        <v>17.19</v>
      </c>
      <c r="E81" s="5">
        <f>IFERROR(__xludf.DUMMYFUNCTION("INDEX(GOOGLEFINANCE($A79,""price"",E80),2,2)"),15.73)</f>
        <v>15.73</v>
      </c>
      <c r="F81" s="5">
        <f>IFERROR(__xludf.DUMMYFUNCTION("INDEX(GOOGLEFINANCE($A79,""price"",F80),2,2)"),15.51)</f>
        <v>15.51</v>
      </c>
      <c r="G81" s="5">
        <f>IFERROR(__xludf.DUMMYFUNCTION("INDEX(GOOGLEFINANCE($A79,""price"",G80),2,2)"),16.56)</f>
        <v>16.56</v>
      </c>
      <c r="H81" s="5">
        <f>IFERROR(__xludf.DUMMYFUNCTION("INDEX(GOOGLEFINANCE($A79,""price"",H80),2,2)"),16.13)</f>
        <v>16.13</v>
      </c>
      <c r="I81" s="5">
        <f>IFERROR(__xludf.DUMMYFUNCTION("INDEX(GOOGLEFINANCE($A79,""price"",I80),2,2)"),15.49)</f>
        <v>15.49</v>
      </c>
      <c r="J81" s="5">
        <f>IFERROR(__xludf.DUMMYFUNCTION("INDEX(GOOGLEFINANCE($A79,""price"",J80),2,2)"),16.17)</f>
        <v>16.17</v>
      </c>
      <c r="K81" s="5">
        <f>IFERROR(__xludf.DUMMYFUNCTION("INDEX(GOOGLEFINANCE($A79,""price"",K80),2,2)"),16.17)</f>
        <v>16.17</v>
      </c>
      <c r="L81" s="5">
        <f>IFERROR(__xludf.DUMMYFUNCTION("INDEX(GOOGLEFINANCE($A79,""price"",L80),2,2)"),16.77)</f>
        <v>16.77</v>
      </c>
      <c r="M81" s="5">
        <f>IFERROR(__xludf.DUMMYFUNCTION("INDEX(GOOGLEFINANCE($A79,""price"",M80),2,2)"),17.63)</f>
        <v>17.63</v>
      </c>
      <c r="N81" s="5">
        <f>IFERROR(__xludf.DUMMYFUNCTION("INDEX(GOOGLEFINANCE($A79,""price"",N80),2,2)"),18.34)</f>
        <v>18.34</v>
      </c>
      <c r="O81" s="5">
        <f>IFERROR(__xludf.DUMMYFUNCTION("INDEX(GOOGLEFINANCE($A79,""price"",O80),2,2)"),10.17)</f>
        <v>10.17</v>
      </c>
    </row>
    <row r="82">
      <c r="A82" s="3" t="s">
        <v>3</v>
      </c>
      <c r="C82" s="6">
        <f t="shared" ref="C82:O82" si="16">(C81-$B81)/$B81</f>
        <v>-0.1613365155</v>
      </c>
      <c r="D82" s="6">
        <f t="shared" si="16"/>
        <v>-0.1794749403</v>
      </c>
      <c r="E82" s="6">
        <f t="shared" si="16"/>
        <v>-0.2491646778</v>
      </c>
      <c r="F82" s="6">
        <f t="shared" si="16"/>
        <v>-0.2596658711</v>
      </c>
      <c r="G82" s="6">
        <f t="shared" si="16"/>
        <v>-0.2095465394</v>
      </c>
      <c r="H82" s="6">
        <f t="shared" si="16"/>
        <v>-0.230071599</v>
      </c>
      <c r="I82" s="6">
        <f t="shared" si="16"/>
        <v>-0.2606205251</v>
      </c>
      <c r="J82" s="6">
        <f t="shared" si="16"/>
        <v>-0.2281622912</v>
      </c>
      <c r="K82" s="6">
        <f t="shared" si="16"/>
        <v>-0.2281622912</v>
      </c>
      <c r="L82" s="6">
        <f t="shared" si="16"/>
        <v>-0.199522673</v>
      </c>
      <c r="M82" s="6">
        <f t="shared" si="16"/>
        <v>-0.1584725537</v>
      </c>
      <c r="N82" s="6">
        <f t="shared" si="16"/>
        <v>-0.1245823389</v>
      </c>
      <c r="O82" s="6">
        <f t="shared" si="16"/>
        <v>-0.5145584726</v>
      </c>
    </row>
    <row r="84">
      <c r="A84" s="2" t="s">
        <v>19</v>
      </c>
    </row>
    <row r="85">
      <c r="A85" s="3" t="s">
        <v>1</v>
      </c>
      <c r="B85" s="1">
        <v>44958.0</v>
      </c>
      <c r="C85" s="1">
        <v>44965.0</v>
      </c>
      <c r="D85" s="1">
        <v>44972.0</v>
      </c>
      <c r="E85" s="1">
        <v>44979.0</v>
      </c>
      <c r="F85" s="1">
        <v>44986.0</v>
      </c>
      <c r="G85" s="1">
        <v>44993.0</v>
      </c>
      <c r="H85" s="1">
        <v>45000.0</v>
      </c>
      <c r="I85" s="1">
        <v>45007.0</v>
      </c>
      <c r="J85" s="1">
        <v>45014.0</v>
      </c>
      <c r="K85" s="1">
        <v>45021.0</v>
      </c>
      <c r="L85" s="1">
        <v>45028.0</v>
      </c>
      <c r="M85" s="1">
        <v>45035.0</v>
      </c>
      <c r="N85" s="1">
        <v>45042.0</v>
      </c>
      <c r="O85" s="1">
        <v>45049.0</v>
      </c>
    </row>
    <row r="86">
      <c r="A86" s="3" t="s">
        <v>2</v>
      </c>
      <c r="B86" s="5">
        <f>IFERROR(__xludf.DUMMYFUNCTION("INDEX(GOOGLEFINANCE($A84,""price"",B85),2,2)"),61.29)</f>
        <v>61.29</v>
      </c>
      <c r="C86" s="5">
        <f>IFERROR(__xludf.DUMMYFUNCTION("INDEX(GOOGLEFINANCE($A84,""price"",C85),2,2)"),60.87)</f>
        <v>60.87</v>
      </c>
      <c r="D86" s="5">
        <f>IFERROR(__xludf.DUMMYFUNCTION("INDEX(GOOGLEFINANCE($A84,""price"",D85),2,2)"),57.38)</f>
        <v>57.38</v>
      </c>
      <c r="E86" s="5">
        <f>IFERROR(__xludf.DUMMYFUNCTION("INDEX(GOOGLEFINANCE($A84,""price"",E85),2,2)"),56.29)</f>
        <v>56.29</v>
      </c>
      <c r="F86" s="5">
        <f>IFERROR(__xludf.DUMMYFUNCTION("INDEX(GOOGLEFINANCE($A84,""price"",F85),2,2)"),58.94)</f>
        <v>58.94</v>
      </c>
      <c r="G86" s="5">
        <f>IFERROR(__xludf.DUMMYFUNCTION("INDEX(GOOGLEFINANCE($A84,""price"",G85),2,2)"),57.14)</f>
        <v>57.14</v>
      </c>
      <c r="H86" s="5">
        <f>IFERROR(__xludf.DUMMYFUNCTION("INDEX(GOOGLEFINANCE($A84,""price"",H85),2,2)"),54.43)</f>
        <v>54.43</v>
      </c>
      <c r="I86" s="5">
        <f>IFERROR(__xludf.DUMMYFUNCTION("INDEX(GOOGLEFINANCE($A84,""price"",I85),2,2)"),53.03)</f>
        <v>53.03</v>
      </c>
      <c r="J86" s="5">
        <f>IFERROR(__xludf.DUMMYFUNCTION("INDEX(GOOGLEFINANCE($A84,""price"",J85),2,2)"),53.9)</f>
        <v>53.9</v>
      </c>
      <c r="K86" s="5">
        <f>IFERROR(__xludf.DUMMYFUNCTION("INDEX(GOOGLEFINANCE($A84,""price"",K85),2,2)"),55.0)</f>
        <v>55</v>
      </c>
      <c r="L86" s="5">
        <f>IFERROR(__xludf.DUMMYFUNCTION("INDEX(GOOGLEFINANCE($A84,""price"",L85),2,2)"),57.22)</f>
        <v>57.22</v>
      </c>
      <c r="M86" s="5">
        <f>IFERROR(__xludf.DUMMYFUNCTION("INDEX(GOOGLEFINANCE($A84,""price"",M85),2,2)"),60.34)</f>
        <v>60.34</v>
      </c>
      <c r="N86" s="5">
        <f>IFERROR(__xludf.DUMMYFUNCTION("INDEX(GOOGLEFINANCE($A84,""price"",N85),2,2)"),57.66)</f>
        <v>57.66</v>
      </c>
      <c r="O86" s="5">
        <f>IFERROR(__xludf.DUMMYFUNCTION("INDEX(GOOGLEFINANCE($A84,""price"",O85),2,2)"),55.42)</f>
        <v>55.42</v>
      </c>
    </row>
    <row r="87">
      <c r="A87" s="3" t="s">
        <v>3</v>
      </c>
      <c r="C87" s="6">
        <f t="shared" ref="C87:O87" si="17">(C86-$B86)/$B86</f>
        <v>-0.006852667646</v>
      </c>
      <c r="D87" s="6">
        <f t="shared" si="17"/>
        <v>-0.06379507261</v>
      </c>
      <c r="E87" s="6">
        <f t="shared" si="17"/>
        <v>-0.08157937673</v>
      </c>
      <c r="F87" s="6">
        <f t="shared" si="17"/>
        <v>-0.03834230706</v>
      </c>
      <c r="G87" s="6">
        <f t="shared" si="17"/>
        <v>-0.06771088269</v>
      </c>
      <c r="H87" s="6">
        <f t="shared" si="17"/>
        <v>-0.1119269049</v>
      </c>
      <c r="I87" s="6">
        <f t="shared" si="17"/>
        <v>-0.1347691304</v>
      </c>
      <c r="J87" s="6">
        <f t="shared" si="17"/>
        <v>-0.1205743188</v>
      </c>
      <c r="K87" s="6">
        <f t="shared" si="17"/>
        <v>-0.1026268559</v>
      </c>
      <c r="L87" s="6">
        <f t="shared" si="17"/>
        <v>-0.06640561266</v>
      </c>
      <c r="M87" s="6">
        <f t="shared" si="17"/>
        <v>-0.01550008158</v>
      </c>
      <c r="N87" s="6">
        <f t="shared" si="17"/>
        <v>-0.05922662751</v>
      </c>
      <c r="O87" s="6">
        <f t="shared" si="17"/>
        <v>-0.09577418829</v>
      </c>
    </row>
    <row r="89">
      <c r="A89" s="2" t="s">
        <v>20</v>
      </c>
    </row>
    <row r="90">
      <c r="A90" s="3" t="s">
        <v>1</v>
      </c>
      <c r="B90" s="1">
        <v>44958.0</v>
      </c>
      <c r="C90" s="1">
        <v>44965.0</v>
      </c>
      <c r="D90" s="1">
        <v>44972.0</v>
      </c>
      <c r="E90" s="1">
        <v>44979.0</v>
      </c>
      <c r="F90" s="1">
        <v>44986.0</v>
      </c>
      <c r="G90" s="1">
        <v>44993.0</v>
      </c>
      <c r="H90" s="1">
        <v>45000.0</v>
      </c>
      <c r="I90" s="1">
        <v>45007.0</v>
      </c>
      <c r="J90" s="1">
        <v>45014.0</v>
      </c>
      <c r="K90" s="1">
        <v>45021.0</v>
      </c>
      <c r="L90" s="1">
        <v>45028.0</v>
      </c>
      <c r="M90" s="1">
        <v>45035.0</v>
      </c>
      <c r="N90" s="1">
        <v>45042.0</v>
      </c>
      <c r="O90" s="1">
        <v>45049.0</v>
      </c>
    </row>
    <row r="91">
      <c r="A91" s="3" t="s">
        <v>2</v>
      </c>
      <c r="B91" s="5">
        <f>IFERROR(__xludf.DUMMYFUNCTION("INDEX(GOOGLEFINANCE($A89,""price"",B90),2,2)"),46.91)</f>
        <v>46.91</v>
      </c>
      <c r="C91" s="5">
        <f>IFERROR(__xludf.DUMMYFUNCTION("INDEX(GOOGLEFINANCE($A89,""price"",C90),2,2)"),46.07)</f>
        <v>46.07</v>
      </c>
      <c r="D91" s="5">
        <f>IFERROR(__xludf.DUMMYFUNCTION("INDEX(GOOGLEFINANCE($A89,""price"",D90),2,2)"),46.15)</f>
        <v>46.15</v>
      </c>
      <c r="E91" s="5">
        <f>IFERROR(__xludf.DUMMYFUNCTION("INDEX(GOOGLEFINANCE($A89,""price"",E90),2,2)"),45.44)</f>
        <v>45.44</v>
      </c>
      <c r="F91" s="5">
        <f>IFERROR(__xludf.DUMMYFUNCTION("INDEX(GOOGLEFINANCE($A89,""price"",F90),2,2)"),45.22)</f>
        <v>45.22</v>
      </c>
      <c r="G91" s="5">
        <f>IFERROR(__xludf.DUMMYFUNCTION("INDEX(GOOGLEFINANCE($A89,""price"",G90),2,2)"),44.89)</f>
        <v>44.89</v>
      </c>
      <c r="H91" s="5">
        <f>IFERROR(__xludf.DUMMYFUNCTION("INDEX(GOOGLEFINANCE($A89,""price"",H90),2,2)"),41.94)</f>
        <v>41.94</v>
      </c>
      <c r="I91" s="5">
        <f>IFERROR(__xludf.DUMMYFUNCTION("INDEX(GOOGLEFINANCE($A89,""price"",I90),2,2)"),42.63)</f>
        <v>42.63</v>
      </c>
      <c r="J91" s="5">
        <f>IFERROR(__xludf.DUMMYFUNCTION("INDEX(GOOGLEFINANCE($A89,""price"",J90),2,2)"),44.1)</f>
        <v>44.1</v>
      </c>
      <c r="K91" s="5">
        <f>IFERROR(__xludf.DUMMYFUNCTION("INDEX(GOOGLEFINANCE($A89,""price"",K90),2,2)"),43.79)</f>
        <v>43.79</v>
      </c>
      <c r="L91" s="5">
        <f>IFERROR(__xludf.DUMMYFUNCTION("INDEX(GOOGLEFINANCE($A89,""price"",L90),2,2)"),43.86)</f>
        <v>43.86</v>
      </c>
      <c r="M91" s="5">
        <f>IFERROR(__xludf.DUMMYFUNCTION("INDEX(GOOGLEFINANCE($A89,""price"",M90),2,2)"),41.7)</f>
        <v>41.7</v>
      </c>
      <c r="N91" s="5">
        <f>IFERROR(__xludf.DUMMYFUNCTION("INDEX(GOOGLEFINANCE($A89,""price"",N90),2,2)"),40.42)</f>
        <v>40.42</v>
      </c>
      <c r="O91" s="5">
        <f>IFERROR(__xludf.DUMMYFUNCTION("INDEX(GOOGLEFINANCE($A89,""price"",O90),2,2)"),40.74)</f>
        <v>40.74</v>
      </c>
    </row>
    <row r="92">
      <c r="A92" s="3" t="s">
        <v>3</v>
      </c>
      <c r="C92" s="6">
        <f t="shared" ref="C92:O92" si="18">(C91-$B91)/$B91</f>
        <v>-0.01790662972</v>
      </c>
      <c r="D92" s="6">
        <f t="shared" si="18"/>
        <v>-0.01620123641</v>
      </c>
      <c r="E92" s="6">
        <f t="shared" si="18"/>
        <v>-0.031336602</v>
      </c>
      <c r="F92" s="6">
        <f t="shared" si="18"/>
        <v>-0.0360264336</v>
      </c>
      <c r="G92" s="6">
        <f t="shared" si="18"/>
        <v>-0.04306118098</v>
      </c>
      <c r="H92" s="6">
        <f t="shared" si="18"/>
        <v>-0.1059475592</v>
      </c>
      <c r="I92" s="6">
        <f t="shared" si="18"/>
        <v>-0.09123854189</v>
      </c>
      <c r="J92" s="6">
        <f t="shared" si="18"/>
        <v>-0.05990193988</v>
      </c>
      <c r="K92" s="6">
        <f t="shared" si="18"/>
        <v>-0.06651033895</v>
      </c>
      <c r="L92" s="6">
        <f t="shared" si="18"/>
        <v>-0.0650181198</v>
      </c>
      <c r="M92" s="6">
        <f t="shared" si="18"/>
        <v>-0.1110637391</v>
      </c>
      <c r="N92" s="6">
        <f t="shared" si="18"/>
        <v>-0.138350032</v>
      </c>
      <c r="O92" s="6">
        <f t="shared" si="18"/>
        <v>-0.1315284588</v>
      </c>
    </row>
    <row r="94">
      <c r="A94" s="2" t="s">
        <v>21</v>
      </c>
    </row>
    <row r="95">
      <c r="A95" s="3" t="s">
        <v>1</v>
      </c>
      <c r="B95" s="1">
        <v>44958.0</v>
      </c>
      <c r="C95" s="1">
        <v>44965.0</v>
      </c>
      <c r="D95" s="1">
        <v>44972.0</v>
      </c>
      <c r="E95" s="1">
        <v>44979.0</v>
      </c>
      <c r="F95" s="1">
        <v>44986.0</v>
      </c>
      <c r="G95" s="1">
        <v>44993.0</v>
      </c>
      <c r="H95" s="1">
        <v>45000.0</v>
      </c>
      <c r="I95" s="1">
        <v>45007.0</v>
      </c>
      <c r="J95" s="1">
        <v>45014.0</v>
      </c>
      <c r="K95" s="1">
        <v>45021.0</v>
      </c>
      <c r="L95" s="1">
        <v>45028.0</v>
      </c>
      <c r="M95" s="1">
        <v>45035.0</v>
      </c>
      <c r="N95" s="1">
        <v>45042.0</v>
      </c>
      <c r="O95" s="1">
        <v>45049.0</v>
      </c>
    </row>
    <row r="96">
      <c r="A96" s="3" t="s">
        <v>2</v>
      </c>
      <c r="B96" s="5">
        <f>IFERROR(__xludf.DUMMYFUNCTION("INDEX(GOOGLEFINANCE($A94,""price"",B95),2,2)"),6.7)</f>
        <v>6.7</v>
      </c>
      <c r="C96" s="5">
        <f>IFERROR(__xludf.DUMMYFUNCTION("INDEX(GOOGLEFINANCE($A94,""price"",C95),2,2)"),6.21)</f>
        <v>6.21</v>
      </c>
      <c r="D96" s="5">
        <f>IFERROR(__xludf.DUMMYFUNCTION("INDEX(GOOGLEFINANCE($A94,""price"",D95),2,2)"),6.38)</f>
        <v>6.38</v>
      </c>
      <c r="E96" s="5">
        <f>IFERROR(__xludf.DUMMYFUNCTION("INDEX(GOOGLEFINANCE($A94,""price"",E95),2,2)"),6.17)</f>
        <v>6.17</v>
      </c>
      <c r="F96" s="5">
        <f>IFERROR(__xludf.DUMMYFUNCTION("INDEX(GOOGLEFINANCE($A94,""price"",F95),2,2)"),5.31)</f>
        <v>5.31</v>
      </c>
      <c r="G96" s="5">
        <f>IFERROR(__xludf.DUMMYFUNCTION("INDEX(GOOGLEFINANCE($A94,""price"",G95),2,2)"),4.59)</f>
        <v>4.59</v>
      </c>
      <c r="H96" s="5">
        <f>IFERROR(__xludf.DUMMYFUNCTION("INDEX(GOOGLEFINANCE($A94,""price"",H95),2,2)"),4.12)</f>
        <v>4.12</v>
      </c>
      <c r="I96" s="5">
        <f>IFERROR(__xludf.DUMMYFUNCTION("INDEX(GOOGLEFINANCE($A94,""price"",I95),2,2)"),3.87)</f>
        <v>3.87</v>
      </c>
      <c r="J96" s="5">
        <f>IFERROR(__xludf.DUMMYFUNCTION("INDEX(GOOGLEFINANCE($A94,""price"",J95),2,2)"),3.61)</f>
        <v>3.61</v>
      </c>
      <c r="K96" s="5">
        <f>IFERROR(__xludf.DUMMYFUNCTION("INDEX(GOOGLEFINANCE($A94,""price"",K95),2,2)"),3.37)</f>
        <v>3.37</v>
      </c>
      <c r="L96" s="5">
        <f>IFERROR(__xludf.DUMMYFUNCTION("INDEX(GOOGLEFINANCE($A94,""price"",L95),2,2)"),3.54)</f>
        <v>3.54</v>
      </c>
      <c r="M96" s="5">
        <f>IFERROR(__xludf.DUMMYFUNCTION("INDEX(GOOGLEFINANCE($A94,""price"",M95),2,2)"),4.05)</f>
        <v>4.05</v>
      </c>
      <c r="N96" s="5">
        <f>IFERROR(__xludf.DUMMYFUNCTION("INDEX(GOOGLEFINANCE($A94,""price"",N95),2,2)"),3.62)</f>
        <v>3.62</v>
      </c>
      <c r="O96" s="5">
        <f>IFERROR(__xludf.DUMMYFUNCTION("INDEX(GOOGLEFINANCE($A94,""price"",O95),2,2)"),2.92)</f>
        <v>2.92</v>
      </c>
    </row>
    <row r="97">
      <c r="A97" s="3" t="s">
        <v>3</v>
      </c>
      <c r="C97" s="6">
        <f t="shared" ref="C97:O97" si="19">(C96-$B96)/$B96</f>
        <v>-0.07313432836</v>
      </c>
      <c r="D97" s="6">
        <f t="shared" si="19"/>
        <v>-0.04776119403</v>
      </c>
      <c r="E97" s="6">
        <f t="shared" si="19"/>
        <v>-0.07910447761</v>
      </c>
      <c r="F97" s="6">
        <f t="shared" si="19"/>
        <v>-0.2074626866</v>
      </c>
      <c r="G97" s="6">
        <f t="shared" si="19"/>
        <v>-0.3149253731</v>
      </c>
      <c r="H97" s="6">
        <f t="shared" si="19"/>
        <v>-0.3850746269</v>
      </c>
      <c r="I97" s="6">
        <f t="shared" si="19"/>
        <v>-0.4223880597</v>
      </c>
      <c r="J97" s="6">
        <f t="shared" si="19"/>
        <v>-0.4611940299</v>
      </c>
      <c r="K97" s="6">
        <f t="shared" si="19"/>
        <v>-0.4970149254</v>
      </c>
      <c r="L97" s="6">
        <f t="shared" si="19"/>
        <v>-0.471641791</v>
      </c>
      <c r="M97" s="6">
        <f t="shared" si="19"/>
        <v>-0.3955223881</v>
      </c>
      <c r="N97" s="6">
        <f t="shared" si="19"/>
        <v>-0.4597014925</v>
      </c>
      <c r="O97" s="6">
        <f t="shared" si="19"/>
        <v>-0.5641791045</v>
      </c>
    </row>
    <row r="99">
      <c r="A99" s="2" t="s">
        <v>22</v>
      </c>
    </row>
    <row r="100">
      <c r="A100" s="3" t="s">
        <v>1</v>
      </c>
      <c r="B100" s="1">
        <v>44958.0</v>
      </c>
      <c r="C100" s="1">
        <v>44965.0</v>
      </c>
      <c r="D100" s="1">
        <v>44972.0</v>
      </c>
      <c r="E100" s="1">
        <v>44979.0</v>
      </c>
      <c r="F100" s="1">
        <v>44986.0</v>
      </c>
      <c r="G100" s="1">
        <v>44993.0</v>
      </c>
      <c r="H100" s="1">
        <v>45000.0</v>
      </c>
      <c r="I100" s="1">
        <v>45007.0</v>
      </c>
      <c r="J100" s="1">
        <v>45014.0</v>
      </c>
      <c r="K100" s="1">
        <v>45021.0</v>
      </c>
      <c r="L100" s="1">
        <v>45028.0</v>
      </c>
      <c r="M100" s="1">
        <v>45035.0</v>
      </c>
      <c r="N100" s="1">
        <v>45042.0</v>
      </c>
      <c r="O100" s="1">
        <v>45049.0</v>
      </c>
    </row>
    <row r="101">
      <c r="A101" s="3" t="s">
        <v>2</v>
      </c>
      <c r="B101" s="5">
        <f>IFERROR(__xludf.DUMMYFUNCTION("INDEX(GOOGLEFINANCE($A99,""price"",B100),2,2)"),10.54)</f>
        <v>10.54</v>
      </c>
      <c r="C101" s="5">
        <f>IFERROR(__xludf.DUMMYFUNCTION("INDEX(GOOGLEFINANCE($A99,""price"",C100),2,2)"),10.79)</f>
        <v>10.79</v>
      </c>
      <c r="D101" s="5">
        <f>IFERROR(__xludf.DUMMYFUNCTION("INDEX(GOOGLEFINANCE($A99,""price"",D100),2,2)"),9.52)</f>
        <v>9.52</v>
      </c>
      <c r="E101" s="5">
        <f>IFERROR(__xludf.DUMMYFUNCTION("INDEX(GOOGLEFINANCE($A99,""price"",E100),2,2)"),9.45)</f>
        <v>9.45</v>
      </c>
      <c r="F101" s="5">
        <f>IFERROR(__xludf.DUMMYFUNCTION("INDEX(GOOGLEFINANCE($A99,""price"",F100),2,2)"),9.55)</f>
        <v>9.55</v>
      </c>
      <c r="G101" s="5">
        <f>IFERROR(__xludf.DUMMYFUNCTION("INDEX(GOOGLEFINANCE($A99,""price"",G100),2,2)"),9.58)</f>
        <v>9.58</v>
      </c>
      <c r="H101" s="5">
        <f>IFERROR(__xludf.DUMMYFUNCTION("INDEX(GOOGLEFINANCE($A99,""price"",H100),2,2)"),8.85)</f>
        <v>8.85</v>
      </c>
      <c r="I101" s="5">
        <f>IFERROR(__xludf.DUMMYFUNCTION("INDEX(GOOGLEFINANCE($A99,""price"",I100),2,2)"),8.78)</f>
        <v>8.78</v>
      </c>
      <c r="J101" s="5">
        <f>IFERROR(__xludf.DUMMYFUNCTION("INDEX(GOOGLEFINANCE($A99,""price"",J100),2,2)"),8.59)</f>
        <v>8.59</v>
      </c>
      <c r="K101" s="5">
        <f>IFERROR(__xludf.DUMMYFUNCTION("INDEX(GOOGLEFINANCE($A99,""price"",K100),2,2)"),8.94)</f>
        <v>8.94</v>
      </c>
      <c r="L101" s="5">
        <f>IFERROR(__xludf.DUMMYFUNCTION("INDEX(GOOGLEFINANCE($A99,""price"",L100),2,2)"),9.65)</f>
        <v>9.65</v>
      </c>
      <c r="M101" s="5">
        <f>IFERROR(__xludf.DUMMYFUNCTION("INDEX(GOOGLEFINANCE($A99,""price"",M100),2,2)"),8.86)</f>
        <v>8.86</v>
      </c>
      <c r="N101" s="5">
        <f>IFERROR(__xludf.DUMMYFUNCTION("INDEX(GOOGLEFINANCE($A99,""price"",N100),2,2)"),8.67)</f>
        <v>8.67</v>
      </c>
      <c r="O101" s="5">
        <f>IFERROR(__xludf.DUMMYFUNCTION("INDEX(GOOGLEFINANCE($A99,""price"",O100),2,2)"),8.61)</f>
        <v>8.61</v>
      </c>
    </row>
    <row r="102">
      <c r="A102" s="3" t="s">
        <v>3</v>
      </c>
      <c r="C102" s="6">
        <f t="shared" ref="C102:O102" si="20">(C101-$B101)/$B101</f>
        <v>0.02371916509</v>
      </c>
      <c r="D102" s="6">
        <f t="shared" si="20"/>
        <v>-0.09677419355</v>
      </c>
      <c r="E102" s="6">
        <f t="shared" si="20"/>
        <v>-0.1034155598</v>
      </c>
      <c r="F102" s="6">
        <f t="shared" si="20"/>
        <v>-0.09392789374</v>
      </c>
      <c r="G102" s="6">
        <f t="shared" si="20"/>
        <v>-0.09108159393</v>
      </c>
      <c r="H102" s="6">
        <f t="shared" si="20"/>
        <v>-0.160341556</v>
      </c>
      <c r="I102" s="6">
        <f t="shared" si="20"/>
        <v>-0.1669829222</v>
      </c>
      <c r="J102" s="6">
        <f t="shared" si="20"/>
        <v>-0.1850094877</v>
      </c>
      <c r="K102" s="6">
        <f t="shared" si="20"/>
        <v>-0.1518026565</v>
      </c>
      <c r="L102" s="6">
        <f t="shared" si="20"/>
        <v>-0.0844402277</v>
      </c>
      <c r="M102" s="6">
        <f t="shared" si="20"/>
        <v>-0.1593927894</v>
      </c>
      <c r="N102" s="6">
        <f t="shared" si="20"/>
        <v>-0.1774193548</v>
      </c>
      <c r="O102" s="6">
        <f t="shared" si="20"/>
        <v>-0.1831119545</v>
      </c>
    </row>
    <row r="104">
      <c r="A104" s="9" t="s">
        <v>23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>
      <c r="A105" s="10" t="s">
        <v>1</v>
      </c>
      <c r="B105" s="11">
        <v>44958.0</v>
      </c>
      <c r="C105" s="11">
        <v>44965.0</v>
      </c>
      <c r="D105" s="11">
        <v>44972.0</v>
      </c>
      <c r="E105" s="11">
        <v>44979.0</v>
      </c>
      <c r="F105" s="11">
        <v>44986.0</v>
      </c>
      <c r="G105" s="11">
        <v>44993.0</v>
      </c>
      <c r="H105" s="11">
        <v>45000.0</v>
      </c>
      <c r="I105" s="11">
        <v>45007.0</v>
      </c>
      <c r="J105" s="11">
        <v>45014.0</v>
      </c>
      <c r="K105" s="11">
        <v>45021.0</v>
      </c>
      <c r="L105" s="11">
        <v>45028.0</v>
      </c>
      <c r="M105" s="11">
        <v>45035.0</v>
      </c>
      <c r="N105" s="11">
        <v>45042.0</v>
      </c>
      <c r="O105" s="11">
        <v>45049.0</v>
      </c>
      <c r="P105" s="12"/>
    </row>
    <row r="106">
      <c r="A106" s="10" t="s">
        <v>2</v>
      </c>
      <c r="B106" s="13">
        <f>IFERROR(__xludf.DUMMYFUNCTION("index(GOOGLEFINANCE($A104,""price"",B105),2,2)"),4119.21)</f>
        <v>4119.21</v>
      </c>
      <c r="C106" s="13">
        <f>IFERROR(__xludf.DUMMYFUNCTION("index(GOOGLEFINANCE($A104,""price"",C105),2,2)"),4117.86)</f>
        <v>4117.86</v>
      </c>
      <c r="D106" s="13">
        <f>IFERROR(__xludf.DUMMYFUNCTION("index(GOOGLEFINANCE($A104,""price"",D105),2,2)"),4147.6)</f>
        <v>4147.6</v>
      </c>
      <c r="E106" s="13">
        <f>IFERROR(__xludf.DUMMYFUNCTION("index(GOOGLEFINANCE($A104,""price"",E105),2,2)"),3991.05)</f>
        <v>3991.05</v>
      </c>
      <c r="F106" s="13">
        <f>IFERROR(__xludf.DUMMYFUNCTION("index(GOOGLEFINANCE($A104,""price"",F105),2,2)"),3951.39)</f>
        <v>3951.39</v>
      </c>
      <c r="G106" s="13">
        <f>IFERROR(__xludf.DUMMYFUNCTION("index(GOOGLEFINANCE($A104,""price"",G105),2,2)"),3992.01)</f>
        <v>3992.01</v>
      </c>
      <c r="H106" s="13">
        <f>IFERROR(__xludf.DUMMYFUNCTION("index(GOOGLEFINANCE($A104,""price"",H105),2,2)"),3891.93)</f>
        <v>3891.93</v>
      </c>
      <c r="I106" s="13">
        <f>IFERROR(__xludf.DUMMYFUNCTION("index(GOOGLEFINANCE($A104,""price"",I105),2,2)"),3936.97)</f>
        <v>3936.97</v>
      </c>
      <c r="J106" s="13">
        <f>IFERROR(__xludf.DUMMYFUNCTION("index(GOOGLEFINANCE($A104,""price"",J105),2,2)"),4027.81)</f>
        <v>4027.81</v>
      </c>
      <c r="K106" s="13">
        <f>IFERROR(__xludf.DUMMYFUNCTION("index(GOOGLEFINANCE($A104,""price"",K105),2,2)"),4090.38)</f>
        <v>4090.38</v>
      </c>
      <c r="L106" s="13">
        <f>IFERROR(__xludf.DUMMYFUNCTION("index(GOOGLEFINANCE($A104,""price"",L105),2,2)"),4091.95)</f>
        <v>4091.95</v>
      </c>
      <c r="M106" s="13">
        <f>IFERROR(__xludf.DUMMYFUNCTION("index(GOOGLEFINANCE($A104,""price"",M105),2,2)"),4154.52)</f>
        <v>4154.52</v>
      </c>
      <c r="N106" s="13">
        <f>IFERROR(__xludf.DUMMYFUNCTION("index(GOOGLEFINANCE($A104,""price"",N105),2,2)"),4055.99)</f>
        <v>4055.99</v>
      </c>
      <c r="O106" s="12">
        <f>IFERROR(__xludf.DUMMYFUNCTION("index(GOOGLEFINANCE($A104,""price"",O105),2,2)"),4090.75)</f>
        <v>4090.75</v>
      </c>
      <c r="P106" s="13"/>
    </row>
    <row r="107">
      <c r="A107" s="10" t="s">
        <v>3</v>
      </c>
      <c r="B107" s="10"/>
      <c r="C107" s="14">
        <f t="shared" ref="C107:O107" si="21">(C106-B106)/$B106</f>
        <v>-0.0003277327449</v>
      </c>
      <c r="D107" s="14">
        <f t="shared" si="21"/>
        <v>0.007219830987</v>
      </c>
      <c r="E107" s="14">
        <f t="shared" si="21"/>
        <v>-0.03800486016</v>
      </c>
      <c r="F107" s="14">
        <f t="shared" si="21"/>
        <v>-0.009628059749</v>
      </c>
      <c r="G107" s="14">
        <f t="shared" si="21"/>
        <v>0.009861114146</v>
      </c>
      <c r="H107" s="14">
        <f t="shared" si="21"/>
        <v>-0.02429592082</v>
      </c>
      <c r="I107" s="14">
        <f t="shared" si="21"/>
        <v>0.01093413543</v>
      </c>
      <c r="J107" s="14">
        <f t="shared" si="21"/>
        <v>0.02205277225</v>
      </c>
      <c r="K107" s="14">
        <f t="shared" si="21"/>
        <v>0.01518980581</v>
      </c>
      <c r="L107" s="14">
        <f t="shared" si="21"/>
        <v>0.000381141044</v>
      </c>
      <c r="M107" s="14">
        <f t="shared" si="21"/>
        <v>0.01518980581</v>
      </c>
      <c r="N107" s="14">
        <f t="shared" si="21"/>
        <v>-0.02391963508</v>
      </c>
      <c r="O107" s="15">
        <f t="shared" si="21"/>
        <v>0.008438511268</v>
      </c>
      <c r="P107" s="14"/>
    </row>
    <row r="109">
      <c r="A109" s="16" t="s">
        <v>1</v>
      </c>
      <c r="B109" s="17"/>
      <c r="C109" s="18">
        <v>44965.0</v>
      </c>
      <c r="D109" s="18">
        <v>44972.0</v>
      </c>
      <c r="E109" s="18">
        <v>44979.0</v>
      </c>
      <c r="F109" s="18">
        <v>44986.0</v>
      </c>
      <c r="G109" s="18">
        <v>44993.0</v>
      </c>
      <c r="H109" s="18">
        <v>45000.0</v>
      </c>
      <c r="I109" s="18">
        <v>45007.0</v>
      </c>
      <c r="J109" s="18">
        <v>45014.0</v>
      </c>
      <c r="K109" s="18">
        <v>45021.0</v>
      </c>
      <c r="L109" s="18">
        <v>45028.0</v>
      </c>
      <c r="M109" s="18">
        <v>45035.0</v>
      </c>
      <c r="N109" s="18">
        <v>45042.0</v>
      </c>
      <c r="O109" s="18">
        <v>45049.0</v>
      </c>
    </row>
    <row r="110">
      <c r="A110" s="16" t="s">
        <v>24</v>
      </c>
      <c r="B110" s="17"/>
      <c r="C110" s="19">
        <f t="shared" ref="C110:O110" si="22">AVERAGE(C102,C97,C92,C87,C82,C77,C72,C67,C62,C57,C52,C47,C42,C37,C32,C27,C22,C17,C12)</f>
        <v>-0.02678424851</v>
      </c>
      <c r="D110" s="19">
        <f t="shared" si="22"/>
        <v>-0.0386045596</v>
      </c>
      <c r="E110" s="19">
        <f t="shared" si="22"/>
        <v>-0.06521046468</v>
      </c>
      <c r="F110" s="19">
        <f t="shared" si="22"/>
        <v>-0.05502156299</v>
      </c>
      <c r="G110" s="19">
        <f t="shared" si="22"/>
        <v>-0.04940670301</v>
      </c>
      <c r="H110" s="19">
        <f t="shared" si="22"/>
        <v>-0.115868593</v>
      </c>
      <c r="I110" s="19">
        <f t="shared" si="22"/>
        <v>-0.1394835554</v>
      </c>
      <c r="J110" s="19">
        <f t="shared" si="22"/>
        <v>-0.1336774273</v>
      </c>
      <c r="K110" s="19">
        <f t="shared" si="22"/>
        <v>-0.1324590193</v>
      </c>
      <c r="L110" s="19">
        <f t="shared" si="22"/>
        <v>-0.1207183394</v>
      </c>
      <c r="M110" s="19">
        <f t="shared" si="22"/>
        <v>-0.1273361707</v>
      </c>
      <c r="N110" s="19">
        <f t="shared" si="22"/>
        <v>-0.1499948519</v>
      </c>
      <c r="O110" s="19">
        <f t="shared" si="22"/>
        <v>-0.1835990754</v>
      </c>
    </row>
    <row r="111">
      <c r="A111" s="16" t="s">
        <v>5</v>
      </c>
      <c r="B111" s="17"/>
      <c r="C111" s="19">
        <f t="shared" ref="C111:E111" si="23">C17</f>
        <v>-0.03800882786</v>
      </c>
      <c r="D111" s="19">
        <f t="shared" si="23"/>
        <v>0.005394801373</v>
      </c>
      <c r="E111" s="19">
        <f t="shared" si="23"/>
        <v>-0.01422265817</v>
      </c>
      <c r="F111" s="19">
        <f>G111</f>
        <v>0.1039725356</v>
      </c>
      <c r="G111" s="19">
        <f t="shared" ref="G111:O111" si="24">G17</f>
        <v>0.1039725356</v>
      </c>
      <c r="H111" s="19">
        <f t="shared" si="24"/>
        <v>-0.03285924473</v>
      </c>
      <c r="I111" s="19">
        <f t="shared" si="24"/>
        <v>-0.03751839137</v>
      </c>
      <c r="J111" s="19">
        <f t="shared" si="24"/>
        <v>-0.002697400687</v>
      </c>
      <c r="K111" s="19">
        <f t="shared" si="24"/>
        <v>-0.04536537518</v>
      </c>
      <c r="L111" s="19">
        <f t="shared" si="24"/>
        <v>0.02599313389</v>
      </c>
      <c r="M111" s="19">
        <f t="shared" si="24"/>
        <v>0.02476704267</v>
      </c>
      <c r="N111" s="19">
        <f t="shared" si="24"/>
        <v>0.03408533595</v>
      </c>
      <c r="O111" s="19">
        <f t="shared" si="24"/>
        <v>0.0009808729769</v>
      </c>
      <c r="P111" s="20"/>
    </row>
    <row r="112">
      <c r="A112" s="16" t="s">
        <v>23</v>
      </c>
      <c r="B112" s="17"/>
      <c r="C112" s="19">
        <f t="shared" ref="C112:O112" si="25">C107</f>
        <v>-0.0003277327449</v>
      </c>
      <c r="D112" s="19">
        <f t="shared" si="25"/>
        <v>0.007219830987</v>
      </c>
      <c r="E112" s="19">
        <f t="shared" si="25"/>
        <v>-0.03800486016</v>
      </c>
      <c r="F112" s="19">
        <f t="shared" si="25"/>
        <v>-0.009628059749</v>
      </c>
      <c r="G112" s="19">
        <f t="shared" si="25"/>
        <v>0.009861114146</v>
      </c>
      <c r="H112" s="19">
        <f t="shared" si="25"/>
        <v>-0.02429592082</v>
      </c>
      <c r="I112" s="19">
        <f t="shared" si="25"/>
        <v>0.01093413543</v>
      </c>
      <c r="J112" s="19">
        <f t="shared" si="25"/>
        <v>0.02205277225</v>
      </c>
      <c r="K112" s="19">
        <f t="shared" si="25"/>
        <v>0.01518980581</v>
      </c>
      <c r="L112" s="19">
        <f t="shared" si="25"/>
        <v>0.000381141044</v>
      </c>
      <c r="M112" s="19">
        <f t="shared" si="25"/>
        <v>0.01518980581</v>
      </c>
      <c r="N112" s="19">
        <f t="shared" si="25"/>
        <v>-0.02391963508</v>
      </c>
      <c r="O112" s="19">
        <f t="shared" si="25"/>
        <v>0.008438511268</v>
      </c>
      <c r="Q112" s="5" t="str">
        <f>Q107</f>
        <v/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4">
      <c r="A4" s="21" t="s">
        <v>25</v>
      </c>
      <c r="P4" s="22"/>
    </row>
    <row r="5">
      <c r="A5" s="3" t="s">
        <v>1</v>
      </c>
      <c r="B5" s="1">
        <v>44958.0</v>
      </c>
      <c r="C5" s="1">
        <v>44965.0</v>
      </c>
      <c r="D5" s="1">
        <v>44972.0</v>
      </c>
      <c r="E5" s="1">
        <v>44979.0</v>
      </c>
      <c r="F5" s="1">
        <v>44986.0</v>
      </c>
      <c r="G5" s="1">
        <v>44993.0</v>
      </c>
      <c r="H5" s="1">
        <v>45000.0</v>
      </c>
      <c r="I5" s="1">
        <v>45007.0</v>
      </c>
      <c r="J5" s="1">
        <v>45014.0</v>
      </c>
      <c r="K5" s="1">
        <v>45021.0</v>
      </c>
      <c r="L5" s="1">
        <v>45028.0</v>
      </c>
      <c r="M5" s="1">
        <v>45035.0</v>
      </c>
      <c r="N5" s="1">
        <v>45042.0</v>
      </c>
      <c r="O5" s="1">
        <v>45049.0</v>
      </c>
      <c r="P5" s="23"/>
    </row>
    <row r="6">
      <c r="A6" s="3" t="s">
        <v>2</v>
      </c>
      <c r="B6" s="5">
        <f>IFERROR(__xludf.DUMMYFUNCTION("index(GOOGLEFINANCE($A4,""price"",B5),2,2)"),266.27)</f>
        <v>266.27</v>
      </c>
      <c r="C6" s="5">
        <f>IFERROR(__xludf.DUMMYFUNCTION("index(GOOGLEFINANCE($A4,""price"",C5),2,2)"),262.82)</f>
        <v>262.82</v>
      </c>
      <c r="D6" s="5">
        <f>IFERROR(__xludf.DUMMYFUNCTION("index(GOOGLEFINANCE($A4,""price"",D5),2,2)"),266.56)</f>
        <v>266.56</v>
      </c>
      <c r="E6" s="5">
        <f>IFERROR(__xludf.DUMMYFUNCTION("index(GOOGLEFINANCE($A4,""price"",E5),2,2)"),268.64)</f>
        <v>268.64</v>
      </c>
      <c r="F6" s="5">
        <f>IFERROR(__xludf.DUMMYFUNCTION("index(GOOGLEFINANCE($A4,""price"",F5),2,2)"),262.72)</f>
        <v>262.72</v>
      </c>
      <c r="G6" s="5">
        <f>IFERROR(__xludf.DUMMYFUNCTION("index(GOOGLEFINANCE($A4,""price"",G5),2,2)"),265.33)</f>
        <v>265.33</v>
      </c>
      <c r="H6" s="5">
        <f>IFERROR(__xludf.DUMMYFUNCTION("index(GOOGLEFINANCE($A4,""price"",H5),2,2)"),266.34)</f>
        <v>266.34</v>
      </c>
      <c r="I6" s="5">
        <f>IFERROR(__xludf.DUMMYFUNCTION("index(GOOGLEFINANCE($A4,""price"",I5),2,2)"),267.87)</f>
        <v>267.87</v>
      </c>
      <c r="J6" s="5">
        <f>IFERROR(__xludf.DUMMYFUNCTION("index(GOOGLEFINANCE($A4,""price"",J5),2,2)"),277.44)</f>
        <v>277.44</v>
      </c>
      <c r="K6" s="5">
        <f>IFERROR(__xludf.DUMMYFUNCTION("index(GOOGLEFINANCE($A4,""price"",K5),2,2)"),282.02)</f>
        <v>282.02</v>
      </c>
      <c r="L6" s="5">
        <f>IFERROR(__xludf.DUMMYFUNCTION("index(GOOGLEFINANCE($A4,""price"",L5),2,2)"),285.3)</f>
        <v>285.3</v>
      </c>
      <c r="M6" s="5">
        <f>IFERROR(__xludf.DUMMYFUNCTION("index(GOOGLEFINANCE($A4,""price"",M5),2,2)"),291.27)</f>
        <v>291.27</v>
      </c>
      <c r="N6" s="5">
        <f>IFERROR(__xludf.DUMMYFUNCTION("index(GOOGLEFINANCE($A4,""price"",N5),2,2)"),289.76)</f>
        <v>289.76</v>
      </c>
      <c r="O6" s="5">
        <f>IFERROR(__xludf.DUMMYFUNCTION("index(GOOGLEFINANCE($A4,""price"",O5),2,2)"),295.22)</f>
        <v>295.22</v>
      </c>
      <c r="P6" s="22"/>
    </row>
    <row r="7">
      <c r="A7" s="3" t="s">
        <v>3</v>
      </c>
      <c r="C7" s="6">
        <f t="shared" ref="C7:O7" si="1">(C6-$B6)/$B6</f>
        <v>-0.0129567732</v>
      </c>
      <c r="D7" s="6">
        <f t="shared" si="1"/>
        <v>0.001089120066</v>
      </c>
      <c r="E7" s="6">
        <f t="shared" si="1"/>
        <v>0.008900739851</v>
      </c>
      <c r="F7" s="6">
        <f t="shared" si="1"/>
        <v>-0.01333233184</v>
      </c>
      <c r="G7" s="6">
        <f t="shared" si="1"/>
        <v>-0.003530251249</v>
      </c>
      <c r="H7" s="6">
        <f t="shared" si="1"/>
        <v>0.0002628910504</v>
      </c>
      <c r="I7" s="6">
        <f t="shared" si="1"/>
        <v>0.006008938296</v>
      </c>
      <c r="J7" s="6">
        <f t="shared" si="1"/>
        <v>0.04194990048</v>
      </c>
      <c r="K7" s="6">
        <f t="shared" si="1"/>
        <v>0.05915048635</v>
      </c>
      <c r="L7" s="6">
        <f t="shared" si="1"/>
        <v>0.07146880985</v>
      </c>
      <c r="M7" s="6">
        <f t="shared" si="1"/>
        <v>0.09388966087</v>
      </c>
      <c r="N7" s="6">
        <f t="shared" si="1"/>
        <v>0.08821872535</v>
      </c>
      <c r="O7" s="6">
        <f t="shared" si="1"/>
        <v>0.1087242273</v>
      </c>
      <c r="P7" s="20"/>
    </row>
    <row r="9">
      <c r="A9" s="21" t="s">
        <v>26</v>
      </c>
      <c r="P9" s="22"/>
    </row>
    <row r="10">
      <c r="A10" s="3" t="s">
        <v>1</v>
      </c>
      <c r="B10" s="1">
        <v>44958.0</v>
      </c>
      <c r="C10" s="1">
        <v>44965.0</v>
      </c>
      <c r="D10" s="1">
        <v>44972.0</v>
      </c>
      <c r="E10" s="1">
        <v>44979.0</v>
      </c>
      <c r="F10" s="1">
        <v>44986.0</v>
      </c>
      <c r="G10" s="1">
        <v>44993.0</v>
      </c>
      <c r="H10" s="1">
        <v>45000.0</v>
      </c>
      <c r="I10" s="1">
        <v>45007.0</v>
      </c>
      <c r="J10" s="1">
        <v>45014.0</v>
      </c>
      <c r="K10" s="1">
        <v>45021.0</v>
      </c>
      <c r="L10" s="1">
        <v>45028.0</v>
      </c>
      <c r="M10" s="1">
        <v>45035.0</v>
      </c>
      <c r="N10" s="1">
        <v>45042.0</v>
      </c>
      <c r="O10" s="1">
        <v>45049.0</v>
      </c>
      <c r="P10" s="23"/>
    </row>
    <row r="11">
      <c r="A11" s="3" t="s">
        <v>2</v>
      </c>
      <c r="B11" s="5">
        <f>IFERROR(__xludf.DUMMYFUNCTION("index(GOOGLEFINANCE($A9,""price"",B10),2,2)"),72.45)</f>
        <v>72.45</v>
      </c>
      <c r="C11" s="5">
        <f>IFERROR(__xludf.DUMMYFUNCTION("index(GOOGLEFINANCE($A9,""price"",C10),2,2)"),72.36)</f>
        <v>72.36</v>
      </c>
      <c r="D11" s="5">
        <f>IFERROR(__xludf.DUMMYFUNCTION("index(GOOGLEFINANCE($A9,""price"",D10),2,2)"),73.05)</f>
        <v>73.05</v>
      </c>
      <c r="E11" s="5">
        <f>IFERROR(__xludf.DUMMYFUNCTION("index(GOOGLEFINANCE($A9,""price"",E10),2,2)"),69.03)</f>
        <v>69.03</v>
      </c>
      <c r="F11" s="5">
        <f>IFERROR(__xludf.DUMMYFUNCTION("index(GOOGLEFINANCE($A9,""price"",F10),2,2)"),65.32)</f>
        <v>65.32</v>
      </c>
      <c r="G11" s="5">
        <f>IFERROR(__xludf.DUMMYFUNCTION("index(GOOGLEFINANCE($A9,""price"",G10),2,2)"),66.27)</f>
        <v>66.27</v>
      </c>
      <c r="H11" s="5">
        <f>IFERROR(__xludf.DUMMYFUNCTION("index(GOOGLEFINANCE($A9,""price"",H10),2,2)"),62.12)</f>
        <v>62.12</v>
      </c>
      <c r="I11" s="5">
        <f>IFERROR(__xludf.DUMMYFUNCTION("index(GOOGLEFINANCE($A9,""price"",I10),2,2)"),61.53)</f>
        <v>61.53</v>
      </c>
      <c r="J11" s="5">
        <f>IFERROR(__xludf.DUMMYFUNCTION("index(GOOGLEFINANCE($A9,""price"",J10),2,2)"),60.94)</f>
        <v>60.94</v>
      </c>
      <c r="K11" s="5">
        <f>IFERROR(__xludf.DUMMYFUNCTION("index(GOOGLEFINANCE($A9,""price"",K10),2,2)"),61.83)</f>
        <v>61.83</v>
      </c>
      <c r="L11" s="5">
        <f>IFERROR(__xludf.DUMMYFUNCTION("index(GOOGLEFINANCE($A9,""price"",L10),2,2)"),62.04)</f>
        <v>62.04</v>
      </c>
      <c r="M11" s="5">
        <f>IFERROR(__xludf.DUMMYFUNCTION("index(GOOGLEFINANCE($A9,""price"",M10),2,2)"),62.27)</f>
        <v>62.27</v>
      </c>
      <c r="N11" s="5">
        <f>IFERROR(__xludf.DUMMYFUNCTION("index(GOOGLEFINANCE($A9,""price"",N10),2,2)"),55.94)</f>
        <v>55.94</v>
      </c>
      <c r="O11" s="5">
        <f>IFERROR(__xludf.DUMMYFUNCTION("index(GOOGLEFINANCE($A9,""price"",O10),2,2)"),54.33)</f>
        <v>54.33</v>
      </c>
      <c r="P11" s="22"/>
    </row>
    <row r="12">
      <c r="A12" s="3" t="s">
        <v>3</v>
      </c>
      <c r="C12" s="6">
        <f t="shared" ref="C12:O12" si="2">(C11-$B11)/$B11</f>
        <v>-0.001242236025</v>
      </c>
      <c r="D12" s="6">
        <f t="shared" si="2"/>
        <v>0.008281573499</v>
      </c>
      <c r="E12" s="6">
        <f t="shared" si="2"/>
        <v>-0.04720496894</v>
      </c>
      <c r="F12" s="6">
        <f t="shared" si="2"/>
        <v>-0.09841269841</v>
      </c>
      <c r="G12" s="6">
        <f t="shared" si="2"/>
        <v>-0.08530020704</v>
      </c>
      <c r="H12" s="6">
        <f t="shared" si="2"/>
        <v>-0.1425810904</v>
      </c>
      <c r="I12" s="6">
        <f t="shared" si="2"/>
        <v>-0.1507246377</v>
      </c>
      <c r="J12" s="6">
        <f t="shared" si="2"/>
        <v>-0.158868185</v>
      </c>
      <c r="K12" s="6">
        <f t="shared" si="2"/>
        <v>-0.1465838509</v>
      </c>
      <c r="L12" s="6">
        <f t="shared" si="2"/>
        <v>-0.1436853002</v>
      </c>
      <c r="M12" s="6">
        <f t="shared" si="2"/>
        <v>-0.140510697</v>
      </c>
      <c r="N12" s="6">
        <f t="shared" si="2"/>
        <v>-0.2278812974</v>
      </c>
      <c r="O12" s="6">
        <f t="shared" si="2"/>
        <v>-0.2501035197</v>
      </c>
      <c r="P12" s="20"/>
    </row>
    <row r="14">
      <c r="A14" s="21" t="s">
        <v>27</v>
      </c>
      <c r="P14" s="22"/>
    </row>
    <row r="15">
      <c r="A15" s="3" t="s">
        <v>1</v>
      </c>
      <c r="B15" s="1">
        <v>44958.0</v>
      </c>
      <c r="C15" s="1">
        <v>44965.0</v>
      </c>
      <c r="D15" s="1">
        <v>44972.0</v>
      </c>
      <c r="E15" s="1">
        <v>44979.0</v>
      </c>
      <c r="F15" s="1">
        <v>44986.0</v>
      </c>
      <c r="G15" s="1">
        <v>44993.0</v>
      </c>
      <c r="H15" s="1">
        <v>45000.0</v>
      </c>
      <c r="I15" s="1">
        <v>45007.0</v>
      </c>
      <c r="J15" s="1">
        <v>45014.0</v>
      </c>
      <c r="K15" s="1">
        <v>45021.0</v>
      </c>
      <c r="L15" s="1">
        <v>45028.0</v>
      </c>
      <c r="M15" s="1">
        <v>45035.0</v>
      </c>
      <c r="N15" s="1">
        <v>45042.0</v>
      </c>
      <c r="O15" s="1">
        <v>45049.0</v>
      </c>
      <c r="P15" s="23"/>
    </row>
    <row r="16">
      <c r="A16" s="3" t="s">
        <v>2</v>
      </c>
      <c r="B16" s="5">
        <f>IFERROR(__xludf.DUMMYFUNCTION("index(GOOGLEFINANCE($A14,""price"",B15),2,2)"),114.74)</f>
        <v>114.74</v>
      </c>
      <c r="C16" s="5">
        <f>IFERROR(__xludf.DUMMYFUNCTION("index(GOOGLEFINANCE($A14,""price"",C15),2,2)"),113.92)</f>
        <v>113.92</v>
      </c>
      <c r="D16" s="5">
        <f>IFERROR(__xludf.DUMMYFUNCTION("index(GOOGLEFINANCE($A14,""price"",D15),2,2)"),116.07)</f>
        <v>116.07</v>
      </c>
      <c r="E16" s="5">
        <f>IFERROR(__xludf.DUMMYFUNCTION("index(GOOGLEFINANCE($A14,""price"",E15),2,2)"),109.73)</f>
        <v>109.73</v>
      </c>
      <c r="F16" s="5">
        <f>IFERROR(__xludf.DUMMYFUNCTION("index(GOOGLEFINANCE($A14,""price"",F15),2,2)"),110.89)</f>
        <v>110.89</v>
      </c>
      <c r="G16" s="5">
        <f>IFERROR(__xludf.DUMMYFUNCTION("index(GOOGLEFINANCE($A14,""price"",G15),2,2)"),109.98)</f>
        <v>109.98</v>
      </c>
      <c r="H16" s="5">
        <f>IFERROR(__xludf.DUMMYFUNCTION("index(GOOGLEFINANCE($A14,""price"",H15),2,2)"),101.62)</f>
        <v>101.62</v>
      </c>
      <c r="I16" s="5">
        <f>IFERROR(__xludf.DUMMYFUNCTION("index(GOOGLEFINANCE($A14,""price"",I15),2,2)"),104.59)</f>
        <v>104.59</v>
      </c>
      <c r="J16" s="5">
        <f>IFERROR(__xludf.DUMMYFUNCTION("index(GOOGLEFINANCE($A14,""price"",J15),2,2)"),108.96)</f>
        <v>108.96</v>
      </c>
      <c r="K16" s="5">
        <f>IFERROR(__xludf.DUMMYFUNCTION("index(GOOGLEFINANCE($A14,""price"",K15),2,2)"),116.99)</f>
        <v>116.99</v>
      </c>
      <c r="L16" s="5">
        <f>IFERROR(__xludf.DUMMYFUNCTION("index(GOOGLEFINANCE($A14,""price"",L15),2,2)"),115.23)</f>
        <v>115.23</v>
      </c>
      <c r="M16" s="5">
        <f>IFERROR(__xludf.DUMMYFUNCTION("index(GOOGLEFINANCE($A14,""price"",M15),2,2)"),116.57)</f>
        <v>116.57</v>
      </c>
      <c r="N16" s="5">
        <f>IFERROR(__xludf.DUMMYFUNCTION("index(GOOGLEFINANCE($A14,""price"",N15),2,2)"),115.45)</f>
        <v>115.45</v>
      </c>
      <c r="O16" s="5">
        <f>IFERROR(__xludf.DUMMYFUNCTION("index(GOOGLEFINANCE($A14,""price"",O15),2,2)"),107.93)</f>
        <v>107.93</v>
      </c>
      <c r="P16" s="22"/>
    </row>
    <row r="17">
      <c r="A17" s="3" t="s">
        <v>3</v>
      </c>
      <c r="C17" s="6">
        <f t="shared" ref="C17:O17" si="3">(C16-$B16)/$B16</f>
        <v>-0.007146592296</v>
      </c>
      <c r="D17" s="6">
        <f t="shared" si="3"/>
        <v>0.01159142409</v>
      </c>
      <c r="E17" s="6">
        <f t="shared" si="3"/>
        <v>-0.04366393585</v>
      </c>
      <c r="F17" s="6">
        <f t="shared" si="3"/>
        <v>-0.03355412236</v>
      </c>
      <c r="G17" s="6">
        <f t="shared" si="3"/>
        <v>-0.04148509674</v>
      </c>
      <c r="H17" s="6">
        <f t="shared" si="3"/>
        <v>-0.1143454767</v>
      </c>
      <c r="I17" s="6">
        <f t="shared" si="3"/>
        <v>-0.08846086805</v>
      </c>
      <c r="J17" s="6">
        <f t="shared" si="3"/>
        <v>-0.05037476033</v>
      </c>
      <c r="K17" s="6">
        <f t="shared" si="3"/>
        <v>0.01960955203</v>
      </c>
      <c r="L17" s="6">
        <f t="shared" si="3"/>
        <v>0.004270524664</v>
      </c>
      <c r="M17" s="6">
        <f t="shared" si="3"/>
        <v>0.01594910232</v>
      </c>
      <c r="N17" s="6">
        <f t="shared" si="3"/>
        <v>0.006187903085</v>
      </c>
      <c r="O17" s="6">
        <f t="shared" si="3"/>
        <v>-0.05935157748</v>
      </c>
      <c r="P17" s="20"/>
    </row>
    <row r="19">
      <c r="A19" s="21" t="s">
        <v>28</v>
      </c>
      <c r="P19" s="22"/>
    </row>
    <row r="20">
      <c r="A20" s="3" t="s">
        <v>1</v>
      </c>
      <c r="B20" s="1">
        <v>44958.0</v>
      </c>
      <c r="C20" s="1">
        <v>44965.0</v>
      </c>
      <c r="D20" s="1">
        <v>44972.0</v>
      </c>
      <c r="E20" s="1">
        <v>44979.0</v>
      </c>
      <c r="F20" s="1">
        <v>44986.0</v>
      </c>
      <c r="G20" s="1">
        <v>44993.0</v>
      </c>
      <c r="H20" s="1">
        <v>45000.0</v>
      </c>
      <c r="I20" s="1">
        <v>45007.0</v>
      </c>
      <c r="J20" s="1">
        <v>45014.0</v>
      </c>
      <c r="K20" s="1">
        <v>45021.0</v>
      </c>
      <c r="L20" s="1">
        <v>45028.0</v>
      </c>
      <c r="M20" s="1">
        <v>45035.0</v>
      </c>
      <c r="N20" s="1">
        <v>45042.0</v>
      </c>
      <c r="O20" s="1">
        <v>45049.0</v>
      </c>
      <c r="P20" s="23"/>
    </row>
    <row r="21">
      <c r="A21" s="3" t="s">
        <v>2</v>
      </c>
      <c r="B21" s="5">
        <f>IFERROR(__xludf.DUMMYFUNCTION("index(GOOGLEFINANCE($A19,""price"",B20),2,2)"),41.23)</f>
        <v>41.23</v>
      </c>
      <c r="C21" s="5">
        <f>IFERROR(__xludf.DUMMYFUNCTION("index(GOOGLEFINANCE($A19,""price"",C20),2,2)"),41.84)</f>
        <v>41.84</v>
      </c>
      <c r="D21" s="5">
        <f>IFERROR(__xludf.DUMMYFUNCTION("index(GOOGLEFINANCE($A19,""price"",D20),2,2)"),42.8)</f>
        <v>42.8</v>
      </c>
      <c r="E21" s="5">
        <f>IFERROR(__xludf.DUMMYFUNCTION("index(GOOGLEFINANCE($A19,""price"",E20),2,2)"),41.81)</f>
        <v>41.81</v>
      </c>
      <c r="F21" s="5">
        <f>IFERROR(__xludf.DUMMYFUNCTION("index(GOOGLEFINANCE($A19,""price"",F20),2,2)"),40.44)</f>
        <v>40.44</v>
      </c>
      <c r="G21" s="5">
        <f>IFERROR(__xludf.DUMMYFUNCTION("index(GOOGLEFINANCE($A19,""price"",G20),2,2)"),38.77)</f>
        <v>38.77</v>
      </c>
      <c r="H21" s="5">
        <f>IFERROR(__xludf.DUMMYFUNCTION("index(GOOGLEFINANCE($A19,""price"",H20),2,2)"),37.51)</f>
        <v>37.51</v>
      </c>
      <c r="I21" s="5">
        <f>IFERROR(__xludf.DUMMYFUNCTION("index(GOOGLEFINANCE($A19,""price"",I20),2,2)"),38.08)</f>
        <v>38.08</v>
      </c>
      <c r="J21" s="5">
        <f>IFERROR(__xludf.DUMMYFUNCTION("index(GOOGLEFINANCE($A19,""price"",J20),2,2)"),39.12)</f>
        <v>39.12</v>
      </c>
      <c r="K21" s="5">
        <f>IFERROR(__xludf.DUMMYFUNCTION("index(GOOGLEFINANCE($A19,""price"",K20),2,2)"),40.8)</f>
        <v>40.8</v>
      </c>
      <c r="L21" s="5">
        <f>IFERROR(__xludf.DUMMYFUNCTION("index(GOOGLEFINANCE($A19,""price"",L20),2,2)"),41.87)</f>
        <v>41.87</v>
      </c>
      <c r="M21" s="5">
        <f>IFERROR(__xludf.DUMMYFUNCTION("index(GOOGLEFINANCE($A19,""price"",M20),2,2)"),43.83)</f>
        <v>43.83</v>
      </c>
      <c r="N21" s="5">
        <f>IFERROR(__xludf.DUMMYFUNCTION("index(GOOGLEFINANCE($A19,""price"",N20),2,2)"),41.67)</f>
        <v>41.67</v>
      </c>
      <c r="O21" s="5">
        <f>IFERROR(__xludf.DUMMYFUNCTION("index(GOOGLEFINANCE($A19,""price"",O20),2,2)"),45.16)</f>
        <v>45.16</v>
      </c>
      <c r="P21" s="22"/>
    </row>
    <row r="22">
      <c r="A22" s="3" t="s">
        <v>3</v>
      </c>
      <c r="C22" s="6">
        <f t="shared" ref="C22:O22" si="4">(C21-$B21)/$B21</f>
        <v>0.01479505215</v>
      </c>
      <c r="D22" s="6">
        <f t="shared" si="4"/>
        <v>0.03807906864</v>
      </c>
      <c r="E22" s="6">
        <f t="shared" si="4"/>
        <v>0.01406742663</v>
      </c>
      <c r="F22" s="6">
        <f t="shared" si="4"/>
        <v>-0.01916080524</v>
      </c>
      <c r="G22" s="6">
        <f t="shared" si="4"/>
        <v>-0.05966529226</v>
      </c>
      <c r="H22" s="6">
        <f t="shared" si="4"/>
        <v>-0.09022556391</v>
      </c>
      <c r="I22" s="6">
        <f t="shared" si="4"/>
        <v>-0.07640067912</v>
      </c>
      <c r="J22" s="6">
        <f t="shared" si="4"/>
        <v>-0.05117632792</v>
      </c>
      <c r="K22" s="6">
        <f t="shared" si="4"/>
        <v>-0.01042929905</v>
      </c>
      <c r="L22" s="6">
        <f t="shared" si="4"/>
        <v>0.01552267766</v>
      </c>
      <c r="M22" s="6">
        <f t="shared" si="4"/>
        <v>0.063060878</v>
      </c>
      <c r="N22" s="6">
        <f t="shared" si="4"/>
        <v>0.01067184089</v>
      </c>
      <c r="O22" s="6">
        <f t="shared" si="4"/>
        <v>0.09531894252</v>
      </c>
      <c r="P22" s="20"/>
    </row>
    <row r="24">
      <c r="A24" s="21" t="s">
        <v>29</v>
      </c>
      <c r="P24" s="22"/>
    </row>
    <row r="25">
      <c r="A25" s="3" t="s">
        <v>1</v>
      </c>
      <c r="B25" s="1">
        <v>44958.0</v>
      </c>
      <c r="C25" s="1">
        <v>44965.0</v>
      </c>
      <c r="D25" s="1">
        <v>44972.0</v>
      </c>
      <c r="E25" s="1">
        <v>44979.0</v>
      </c>
      <c r="F25" s="1">
        <v>44986.0</v>
      </c>
      <c r="G25" s="1">
        <v>44993.0</v>
      </c>
      <c r="H25" s="1">
        <v>45000.0</v>
      </c>
      <c r="I25" s="1">
        <v>45007.0</v>
      </c>
      <c r="J25" s="1">
        <v>45014.0</v>
      </c>
      <c r="K25" s="1">
        <v>45021.0</v>
      </c>
      <c r="L25" s="1">
        <v>45028.0</v>
      </c>
      <c r="M25" s="1">
        <v>45035.0</v>
      </c>
      <c r="N25" s="1">
        <v>45042.0</v>
      </c>
      <c r="O25" s="1">
        <v>45049.0</v>
      </c>
      <c r="P25" s="23"/>
    </row>
    <row r="26">
      <c r="A26" s="3" t="s">
        <v>2</v>
      </c>
      <c r="B26" s="5">
        <f>IFERROR(__xludf.DUMMYFUNCTION("index(GOOGLEFINANCE($A24,""price"",B25),2,2)"),87.49)</f>
        <v>87.49</v>
      </c>
      <c r="C26" s="5">
        <f>IFERROR(__xludf.DUMMYFUNCTION("index(GOOGLEFINANCE($A24,""price"",C25),2,2)"),88.96)</f>
        <v>88.96</v>
      </c>
      <c r="D26" s="5">
        <f>IFERROR(__xludf.DUMMYFUNCTION("index(GOOGLEFINANCE($A24,""price"",D25),2,2)"),88.35)</f>
        <v>88.35</v>
      </c>
      <c r="E26" s="5">
        <f>IFERROR(__xludf.DUMMYFUNCTION("index(GOOGLEFINANCE($A24,""price"",E25),2,2)"),87.21)</f>
        <v>87.21</v>
      </c>
      <c r="F26" s="5">
        <f>IFERROR(__xludf.DUMMYFUNCTION("index(GOOGLEFINANCE($A24,""price"",F25),2,2)"),82.47)</f>
        <v>82.47</v>
      </c>
      <c r="G26" s="5">
        <f>IFERROR(__xludf.DUMMYFUNCTION("index(GOOGLEFINANCE($A24,""price"",G25),2,2)"),79.81)</f>
        <v>79.81</v>
      </c>
      <c r="H26" s="5">
        <f>IFERROR(__xludf.DUMMYFUNCTION("index(GOOGLEFINANCE($A24,""price"",H25),2,2)"),75.4)</f>
        <v>75.4</v>
      </c>
      <c r="I26" s="5">
        <f>IFERROR(__xludf.DUMMYFUNCTION("index(GOOGLEFINANCE($A24,""price"",I25),2,2)"),74.41)</f>
        <v>74.41</v>
      </c>
      <c r="J26" s="5">
        <f>IFERROR(__xludf.DUMMYFUNCTION("index(GOOGLEFINANCE($A24,""price"",J25),2,2)"),74.09)</f>
        <v>74.09</v>
      </c>
      <c r="K26" s="5">
        <f>IFERROR(__xludf.DUMMYFUNCTION("index(GOOGLEFINANCE($A24,""price"",K25),2,2)"),77.75)</f>
        <v>77.75</v>
      </c>
      <c r="L26" s="5">
        <f>IFERROR(__xludf.DUMMYFUNCTION("index(GOOGLEFINANCE($A24,""price"",L25),2,2)"),74.92)</f>
        <v>74.92</v>
      </c>
      <c r="M26" s="5">
        <f>IFERROR(__xludf.DUMMYFUNCTION("index(GOOGLEFINANCE($A24,""price"",M25),2,2)"),74.21)</f>
        <v>74.21</v>
      </c>
      <c r="N26" s="5">
        <f>IFERROR(__xludf.DUMMYFUNCTION("index(GOOGLEFINANCE($A24,""price"",N25),2,2)"),72.26)</f>
        <v>72.26</v>
      </c>
      <c r="O26" s="5">
        <f>IFERROR(__xludf.DUMMYFUNCTION("index(GOOGLEFINANCE($A24,""price"",O25),2,2)"),70.08)</f>
        <v>70.08</v>
      </c>
      <c r="P26" s="22"/>
    </row>
    <row r="27">
      <c r="A27" s="3" t="s">
        <v>3</v>
      </c>
      <c r="C27" s="6">
        <f t="shared" ref="C27:O27" si="5">(C26-$B26)/$B26</f>
        <v>0.01680192022</v>
      </c>
      <c r="D27" s="6">
        <f t="shared" si="5"/>
        <v>0.009829694822</v>
      </c>
      <c r="E27" s="6">
        <f t="shared" si="5"/>
        <v>-0.003200365756</v>
      </c>
      <c r="F27" s="6">
        <f t="shared" si="5"/>
        <v>-0.05737798606</v>
      </c>
      <c r="G27" s="6">
        <f t="shared" si="5"/>
        <v>-0.08778146074</v>
      </c>
      <c r="H27" s="6">
        <f t="shared" si="5"/>
        <v>-0.1381872214</v>
      </c>
      <c r="I27" s="6">
        <f t="shared" si="5"/>
        <v>-0.1495028003</v>
      </c>
      <c r="J27" s="6">
        <f t="shared" si="5"/>
        <v>-0.1531603612</v>
      </c>
      <c r="K27" s="6">
        <f t="shared" si="5"/>
        <v>-0.1113270088</v>
      </c>
      <c r="L27" s="6">
        <f t="shared" si="5"/>
        <v>-0.1436735627</v>
      </c>
      <c r="M27" s="6">
        <f t="shared" si="5"/>
        <v>-0.1517887759</v>
      </c>
      <c r="N27" s="6">
        <f t="shared" si="5"/>
        <v>-0.1740770374</v>
      </c>
      <c r="O27" s="6">
        <f t="shared" si="5"/>
        <v>-0.1989941708</v>
      </c>
      <c r="P27" s="20"/>
    </row>
    <row r="29">
      <c r="A29" s="21" t="s">
        <v>30</v>
      </c>
      <c r="P29" s="22"/>
    </row>
    <row r="30">
      <c r="A30" s="3" t="s">
        <v>1</v>
      </c>
      <c r="B30" s="1">
        <v>44958.0</v>
      </c>
      <c r="C30" s="1">
        <v>44965.0</v>
      </c>
      <c r="D30" s="1">
        <v>44972.0</v>
      </c>
      <c r="E30" s="1">
        <v>44979.0</v>
      </c>
      <c r="F30" s="1">
        <v>44986.0</v>
      </c>
      <c r="G30" s="1">
        <v>44993.0</v>
      </c>
      <c r="H30" s="1">
        <v>45000.0</v>
      </c>
      <c r="I30" s="1">
        <v>45007.0</v>
      </c>
      <c r="J30" s="1">
        <v>45014.0</v>
      </c>
      <c r="K30" s="1">
        <v>45021.0</v>
      </c>
      <c r="L30" s="1">
        <v>45028.0</v>
      </c>
      <c r="M30" s="1">
        <v>45035.0</v>
      </c>
      <c r="N30" s="1">
        <v>45042.0</v>
      </c>
      <c r="O30" s="1">
        <v>45049.0</v>
      </c>
      <c r="P30" s="23"/>
    </row>
    <row r="31">
      <c r="A31" s="3" t="s">
        <v>2</v>
      </c>
      <c r="B31" s="5">
        <f>IFERROR(__xludf.DUMMYFUNCTION("index(GOOGLEFINANCE($A29,""price"",B30),2,2)"),6.04)</f>
        <v>6.04</v>
      </c>
      <c r="C31" s="5">
        <f>IFERROR(__xludf.DUMMYFUNCTION("index(GOOGLEFINANCE($A29,""price"",C30),2,2)"),6.12)</f>
        <v>6.12</v>
      </c>
      <c r="D31" s="5">
        <f>IFERROR(__xludf.DUMMYFUNCTION("index(GOOGLEFINANCE($A29,""price"",D30),2,2)"),6.14)</f>
        <v>6.14</v>
      </c>
      <c r="E31" s="5">
        <f>IFERROR(__xludf.DUMMYFUNCTION("index(GOOGLEFINANCE($A29,""price"",E30),2,2)"),6.3)</f>
        <v>6.3</v>
      </c>
      <c r="F31" s="5">
        <f>IFERROR(__xludf.DUMMYFUNCTION("index(GOOGLEFINANCE($A29,""price"",F30),2,2)"),6.54)</f>
        <v>6.54</v>
      </c>
      <c r="G31" s="5">
        <f>IFERROR(__xludf.DUMMYFUNCTION("index(GOOGLEFINANCE($A29,""price"",G30),2,2)"),6.95)</f>
        <v>6.95</v>
      </c>
      <c r="H31" s="5">
        <f>IFERROR(__xludf.DUMMYFUNCTION("index(GOOGLEFINANCE($A29,""price"",H30),2,2)"),6.05)</f>
        <v>6.05</v>
      </c>
      <c r="I31" s="5">
        <f>IFERROR(__xludf.DUMMYFUNCTION("index(GOOGLEFINANCE($A29,""price"",I30),2,2)"),5.51)</f>
        <v>5.51</v>
      </c>
      <c r="J31" s="5">
        <f>IFERROR(__xludf.DUMMYFUNCTION("index(GOOGLEFINANCE($A29,""price"",J30),2,2)"),5.71)</f>
        <v>5.71</v>
      </c>
      <c r="K31" s="5">
        <f>IFERROR(__xludf.DUMMYFUNCTION("index(GOOGLEFINANCE($A29,""price"",K30),2,2)"),5.53)</f>
        <v>5.53</v>
      </c>
      <c r="L31" s="5">
        <f>IFERROR(__xludf.DUMMYFUNCTION("index(GOOGLEFINANCE($A29,""price"",L30),2,2)"),6.02)</f>
        <v>6.02</v>
      </c>
      <c r="M31" s="5">
        <f>IFERROR(__xludf.DUMMYFUNCTION("index(GOOGLEFINANCE($A29,""price"",M30),2,2)"),6.33)</f>
        <v>6.33</v>
      </c>
      <c r="N31" s="5">
        <f>IFERROR(__xludf.DUMMYFUNCTION("index(GOOGLEFINANCE($A29,""price"",N30),2,2)"),6.07)</f>
        <v>6.07</v>
      </c>
      <c r="O31" s="5">
        <f>IFERROR(__xludf.DUMMYFUNCTION("index(GOOGLEFINANCE($A29,""price"",O30),2,2)"),6.15)</f>
        <v>6.15</v>
      </c>
      <c r="P31" s="22"/>
    </row>
    <row r="32">
      <c r="A32" s="3" t="s">
        <v>3</v>
      </c>
      <c r="C32" s="6">
        <f t="shared" ref="C32:O32" si="6">(C31-$B31)/$B31</f>
        <v>0.01324503311</v>
      </c>
      <c r="D32" s="6">
        <f t="shared" si="6"/>
        <v>0.01655629139</v>
      </c>
      <c r="E32" s="6">
        <f t="shared" si="6"/>
        <v>0.04304635762</v>
      </c>
      <c r="F32" s="6">
        <f t="shared" si="6"/>
        <v>0.08278145695</v>
      </c>
      <c r="G32" s="6">
        <f t="shared" si="6"/>
        <v>0.1506622517</v>
      </c>
      <c r="H32" s="6">
        <f t="shared" si="6"/>
        <v>0.001655629139</v>
      </c>
      <c r="I32" s="6">
        <f t="shared" si="6"/>
        <v>-0.08774834437</v>
      </c>
      <c r="J32" s="6">
        <f t="shared" si="6"/>
        <v>-0.05463576159</v>
      </c>
      <c r="K32" s="6">
        <f t="shared" si="6"/>
        <v>-0.08443708609</v>
      </c>
      <c r="L32" s="6">
        <f t="shared" si="6"/>
        <v>-0.003311258278</v>
      </c>
      <c r="M32" s="6">
        <f t="shared" si="6"/>
        <v>0.04801324503</v>
      </c>
      <c r="N32" s="6">
        <f t="shared" si="6"/>
        <v>0.004966887417</v>
      </c>
      <c r="O32" s="6">
        <f t="shared" si="6"/>
        <v>0.01821192053</v>
      </c>
      <c r="P32" s="20"/>
    </row>
    <row r="34">
      <c r="A34" s="21" t="s">
        <v>31</v>
      </c>
      <c r="P34" s="22"/>
    </row>
    <row r="35">
      <c r="A35" s="3" t="s">
        <v>1</v>
      </c>
      <c r="B35" s="1">
        <v>44958.0</v>
      </c>
      <c r="C35" s="1">
        <v>44965.0</v>
      </c>
      <c r="D35" s="1">
        <v>44972.0</v>
      </c>
      <c r="E35" s="1">
        <v>44979.0</v>
      </c>
      <c r="F35" s="1">
        <v>44986.0</v>
      </c>
      <c r="G35" s="1">
        <v>44993.0</v>
      </c>
      <c r="H35" s="1">
        <v>45000.0</v>
      </c>
      <c r="I35" s="1">
        <v>45007.0</v>
      </c>
      <c r="J35" s="1">
        <v>45014.0</v>
      </c>
      <c r="K35" s="1">
        <v>45021.0</v>
      </c>
      <c r="L35" s="1">
        <v>45028.0</v>
      </c>
      <c r="M35" s="1">
        <v>45035.0</v>
      </c>
      <c r="N35" s="1">
        <v>45042.0</v>
      </c>
      <c r="O35" s="1">
        <v>45049.0</v>
      </c>
      <c r="P35" s="23"/>
    </row>
    <row r="36">
      <c r="A36" s="3" t="s">
        <v>2</v>
      </c>
      <c r="B36" s="5">
        <f>IFERROR(__xludf.DUMMYFUNCTION("index(GOOGLEFINANCE($A34,""price"",B35),2,2)"),13.94)</f>
        <v>13.94</v>
      </c>
      <c r="C36" s="5">
        <f>IFERROR(__xludf.DUMMYFUNCTION("index(GOOGLEFINANCE($A34,""price"",C35),2,2)"),13.76)</f>
        <v>13.76</v>
      </c>
      <c r="D36" s="5">
        <f>IFERROR(__xludf.DUMMYFUNCTION("index(GOOGLEFINANCE($A34,""price"",D35),2,2)"),14.02)</f>
        <v>14.02</v>
      </c>
      <c r="E36" s="5">
        <f>IFERROR(__xludf.DUMMYFUNCTION("index(GOOGLEFINANCE($A34,""price"",E35),2,2)"),14.21)</f>
        <v>14.21</v>
      </c>
      <c r="F36" s="5">
        <f>IFERROR(__xludf.DUMMYFUNCTION("index(GOOGLEFINANCE($A34,""price"",F35),2,2)"),14.49)</f>
        <v>14.49</v>
      </c>
      <c r="G36" s="5">
        <f>IFERROR(__xludf.DUMMYFUNCTION("index(GOOGLEFINANCE($A34,""price"",G35),2,2)"),14.21)</f>
        <v>14.21</v>
      </c>
      <c r="H36" s="5">
        <f>IFERROR(__xludf.DUMMYFUNCTION("index(GOOGLEFINANCE($A34,""price"",H35),2,2)"),12.72)</f>
        <v>12.72</v>
      </c>
      <c r="I36" s="5">
        <f>IFERROR(__xludf.DUMMYFUNCTION("index(GOOGLEFINANCE($A34,""price"",I35),2,2)"),12.84)</f>
        <v>12.84</v>
      </c>
      <c r="J36" s="5">
        <f>IFERROR(__xludf.DUMMYFUNCTION("index(GOOGLEFINANCE($A34,""price"",J35),2,2)"),13.25)</f>
        <v>13.25</v>
      </c>
      <c r="K36" s="5">
        <f>IFERROR(__xludf.DUMMYFUNCTION("index(GOOGLEFINANCE($A34,""price"",K35),2,2)"),13.22)</f>
        <v>13.22</v>
      </c>
      <c r="L36" s="5">
        <f>IFERROR(__xludf.DUMMYFUNCTION("index(GOOGLEFINANCE($A34,""price"",L35),2,2)"),13.16)</f>
        <v>13.16</v>
      </c>
      <c r="M36" s="5">
        <f>IFERROR(__xludf.DUMMYFUNCTION("index(GOOGLEFINANCE($A34,""price"",M35),2,2)"),13.16)</f>
        <v>13.16</v>
      </c>
      <c r="N36" s="5">
        <f>IFERROR(__xludf.DUMMYFUNCTION("index(GOOGLEFINANCE($A34,""price"",N35),2,2)"),12.7)</f>
        <v>12.7</v>
      </c>
      <c r="O36" s="5">
        <f>IFERROR(__xludf.DUMMYFUNCTION("index(GOOGLEFINANCE($A34,""price"",O35),2,2)"),12.52)</f>
        <v>12.52</v>
      </c>
      <c r="P36" s="22"/>
    </row>
    <row r="37">
      <c r="A37" s="3" t="s">
        <v>3</v>
      </c>
      <c r="C37" s="6">
        <f t="shared" ref="C37:O37" si="7">(C36-$B36)/$B36</f>
        <v>-0.01291248207</v>
      </c>
      <c r="D37" s="6">
        <f t="shared" si="7"/>
        <v>0.005738880918</v>
      </c>
      <c r="E37" s="6">
        <f t="shared" si="7"/>
        <v>0.0193687231</v>
      </c>
      <c r="F37" s="6">
        <f t="shared" si="7"/>
        <v>0.03945480631</v>
      </c>
      <c r="G37" s="6">
        <f t="shared" si="7"/>
        <v>0.0193687231</v>
      </c>
      <c r="H37" s="6">
        <f t="shared" si="7"/>
        <v>-0.087517934</v>
      </c>
      <c r="I37" s="6">
        <f t="shared" si="7"/>
        <v>-0.07890961263</v>
      </c>
      <c r="J37" s="6">
        <f t="shared" si="7"/>
        <v>-0.04949784792</v>
      </c>
      <c r="K37" s="6">
        <f t="shared" si="7"/>
        <v>-0.05164992826</v>
      </c>
      <c r="L37" s="6">
        <f t="shared" si="7"/>
        <v>-0.05595408895</v>
      </c>
      <c r="M37" s="6">
        <f t="shared" si="7"/>
        <v>-0.05595408895</v>
      </c>
      <c r="N37" s="6">
        <f t="shared" si="7"/>
        <v>-0.08895265423</v>
      </c>
      <c r="O37" s="6">
        <f t="shared" si="7"/>
        <v>-0.1018651363</v>
      </c>
      <c r="P37" s="20"/>
    </row>
    <row r="39">
      <c r="A39" s="21" t="s">
        <v>32</v>
      </c>
      <c r="P39" s="22"/>
    </row>
    <row r="40">
      <c r="A40" s="3" t="s">
        <v>1</v>
      </c>
      <c r="B40" s="1">
        <v>44958.0</v>
      </c>
      <c r="C40" s="1">
        <v>44965.0</v>
      </c>
      <c r="D40" s="1">
        <v>44972.0</v>
      </c>
      <c r="E40" s="1">
        <v>44979.0</v>
      </c>
      <c r="F40" s="1">
        <v>44986.0</v>
      </c>
      <c r="G40" s="1">
        <v>44993.0</v>
      </c>
      <c r="H40" s="1">
        <v>45000.0</v>
      </c>
      <c r="I40" s="1">
        <v>45007.0</v>
      </c>
      <c r="J40" s="1">
        <v>45014.0</v>
      </c>
      <c r="K40" s="1">
        <v>45021.0</v>
      </c>
      <c r="L40" s="1">
        <v>45028.0</v>
      </c>
      <c r="M40" s="1">
        <v>45035.0</v>
      </c>
      <c r="N40" s="1">
        <v>45042.0</v>
      </c>
      <c r="O40" s="1">
        <v>45049.0</v>
      </c>
      <c r="P40" s="23"/>
    </row>
    <row r="41">
      <c r="A41" s="3" t="s">
        <v>2</v>
      </c>
      <c r="B41" s="5">
        <f>IFERROR(__xludf.DUMMYFUNCTION("index(GOOGLEFINANCE($A39,""price"",B40),2,2)"),61.89)</f>
        <v>61.89</v>
      </c>
      <c r="C41" s="5">
        <f>IFERROR(__xludf.DUMMYFUNCTION("index(GOOGLEFINANCE($A39,""price"",C40),2,2)"),61.33)</f>
        <v>61.33</v>
      </c>
      <c r="D41" s="5">
        <f>IFERROR(__xludf.DUMMYFUNCTION("index(GOOGLEFINANCE($A39,""price"",D40),2,2)"),57.23)</f>
        <v>57.23</v>
      </c>
      <c r="E41" s="5">
        <f>IFERROR(__xludf.DUMMYFUNCTION("index(GOOGLEFINANCE($A39,""price"",E40),2,2)"),53.59)</f>
        <v>53.59</v>
      </c>
      <c r="F41" s="5">
        <f>IFERROR(__xludf.DUMMYFUNCTION("index(GOOGLEFINANCE($A39,""price"",F40),2,2)"),54.74)</f>
        <v>54.74</v>
      </c>
      <c r="G41" s="5">
        <f>IFERROR(__xludf.DUMMYFUNCTION("index(GOOGLEFINANCE($A39,""price"",G40),2,2)"),54.5)</f>
        <v>54.5</v>
      </c>
      <c r="H41" s="5">
        <f>IFERROR(__xludf.DUMMYFUNCTION("index(GOOGLEFINANCE($A39,""price"",H40),2,2)"),45.12)</f>
        <v>45.12</v>
      </c>
      <c r="I41" s="5">
        <f>IFERROR(__xludf.DUMMYFUNCTION("index(GOOGLEFINANCE($A39,""price"",I40),2,2)"),47.76)</f>
        <v>47.76</v>
      </c>
      <c r="J41" s="5">
        <f>IFERROR(__xludf.DUMMYFUNCTION("index(GOOGLEFINANCE($A39,""price"",J40),2,2)"),49.79)</f>
        <v>49.79</v>
      </c>
      <c r="K41" s="5">
        <f>IFERROR(__xludf.DUMMYFUNCTION("index(GOOGLEFINANCE($A39,""price"",K40),2,2)"),53.53)</f>
        <v>53.53</v>
      </c>
      <c r="L41" s="5">
        <f>IFERROR(__xludf.DUMMYFUNCTION("index(GOOGLEFINANCE($A39,""price"",L40),2,2)"),54.54)</f>
        <v>54.54</v>
      </c>
      <c r="M41" s="5">
        <f>IFERROR(__xludf.DUMMYFUNCTION("index(GOOGLEFINANCE($A39,""price"",M40),2,2)"),54.85)</f>
        <v>54.85</v>
      </c>
      <c r="N41" s="5">
        <f>IFERROR(__xludf.DUMMYFUNCTION("index(GOOGLEFINANCE($A39,""price"",N40),2,2)"),52.2)</f>
        <v>52.2</v>
      </c>
      <c r="O41" s="5">
        <f>IFERROR(__xludf.DUMMYFUNCTION("index(GOOGLEFINANCE($A39,""price"",O40),2,2)"),49.01)</f>
        <v>49.01</v>
      </c>
      <c r="P41" s="22"/>
    </row>
    <row r="42">
      <c r="A42" s="3" t="s">
        <v>3</v>
      </c>
      <c r="C42" s="6">
        <f t="shared" ref="C42:O42" si="8">(C41-$B41)/$B41</f>
        <v>-0.00904831152</v>
      </c>
      <c r="D42" s="6">
        <f t="shared" si="8"/>
        <v>-0.07529487801</v>
      </c>
      <c r="E42" s="6">
        <f t="shared" si="8"/>
        <v>-0.1341089029</v>
      </c>
      <c r="F42" s="6">
        <f t="shared" si="8"/>
        <v>-0.1155275489</v>
      </c>
      <c r="G42" s="6">
        <f t="shared" si="8"/>
        <v>-0.1194053967</v>
      </c>
      <c r="H42" s="6">
        <f t="shared" si="8"/>
        <v>-0.2709646146</v>
      </c>
      <c r="I42" s="6">
        <f t="shared" si="8"/>
        <v>-0.2283082889</v>
      </c>
      <c r="J42" s="6">
        <f t="shared" si="8"/>
        <v>-0.1955081596</v>
      </c>
      <c r="K42" s="6">
        <f t="shared" si="8"/>
        <v>-0.1350783648</v>
      </c>
      <c r="L42" s="6">
        <f t="shared" si="8"/>
        <v>-0.1187590887</v>
      </c>
      <c r="M42" s="6">
        <f t="shared" si="8"/>
        <v>-0.113750202</v>
      </c>
      <c r="N42" s="6">
        <f t="shared" si="8"/>
        <v>-0.1565681047</v>
      </c>
      <c r="O42" s="6">
        <f t="shared" si="8"/>
        <v>-0.208111165</v>
      </c>
      <c r="P42" s="20"/>
    </row>
    <row r="44">
      <c r="A44" s="21" t="s">
        <v>33</v>
      </c>
      <c r="P44" s="22"/>
    </row>
    <row r="45">
      <c r="A45" s="3" t="s">
        <v>1</v>
      </c>
      <c r="B45" s="1">
        <v>44958.0</v>
      </c>
      <c r="C45" s="1">
        <v>44965.0</v>
      </c>
      <c r="D45" s="1">
        <v>44972.0</v>
      </c>
      <c r="E45" s="1">
        <v>44979.0</v>
      </c>
      <c r="F45" s="1">
        <v>44986.0</v>
      </c>
      <c r="G45" s="1">
        <v>44993.0</v>
      </c>
      <c r="H45" s="1">
        <v>45000.0</v>
      </c>
      <c r="I45" s="1">
        <v>45007.0</v>
      </c>
      <c r="J45" s="1">
        <v>45014.0</v>
      </c>
      <c r="K45" s="1">
        <v>45021.0</v>
      </c>
      <c r="L45" s="1">
        <v>45028.0</v>
      </c>
      <c r="M45" s="1">
        <v>45035.0</v>
      </c>
      <c r="N45" s="1">
        <v>45042.0</v>
      </c>
      <c r="O45" s="1">
        <v>45049.0</v>
      </c>
      <c r="P45" s="23"/>
    </row>
    <row r="46">
      <c r="A46" s="3" t="s">
        <v>2</v>
      </c>
      <c r="B46" s="5">
        <f>IFERROR(__xludf.DUMMYFUNCTION("index(GOOGLEFINANCE($A44,""price"",B45),2,2)"),60.24)</f>
        <v>60.24</v>
      </c>
      <c r="C46" s="5">
        <f>IFERROR(__xludf.DUMMYFUNCTION("index(GOOGLEFINANCE($A44,""price"",C45),2,2)"),59.37)</f>
        <v>59.37</v>
      </c>
      <c r="D46" s="5">
        <f>IFERROR(__xludf.DUMMYFUNCTION("index(GOOGLEFINANCE($A44,""price"",D45),2,2)"),58.38)</f>
        <v>58.38</v>
      </c>
      <c r="E46" s="5">
        <f>IFERROR(__xludf.DUMMYFUNCTION("index(GOOGLEFINANCE($A44,""price"",E45),2,2)"),57.6)</f>
        <v>57.6</v>
      </c>
      <c r="F46" s="5">
        <f>IFERROR(__xludf.DUMMYFUNCTION("index(GOOGLEFINANCE($A44,""price"",F45),2,2)"),54.48)</f>
        <v>54.48</v>
      </c>
      <c r="G46" s="5">
        <f>IFERROR(__xludf.DUMMYFUNCTION("index(GOOGLEFINANCE($A44,""price"",G45),2,2)"),52.75)</f>
        <v>52.75</v>
      </c>
      <c r="H46" s="5">
        <f>IFERROR(__xludf.DUMMYFUNCTION("index(GOOGLEFINANCE($A44,""price"",H45),2,2)"),47.34)</f>
        <v>47.34</v>
      </c>
      <c r="I46" s="5">
        <f>IFERROR(__xludf.DUMMYFUNCTION("index(GOOGLEFINANCE($A44,""price"",I45),2,2)"),48.93)</f>
        <v>48.93</v>
      </c>
      <c r="J46" s="5">
        <f>IFERROR(__xludf.DUMMYFUNCTION("index(GOOGLEFINANCE($A44,""price"",J45),2,2)"),52.0)</f>
        <v>52</v>
      </c>
      <c r="K46" s="5">
        <f>IFERROR(__xludf.DUMMYFUNCTION("index(GOOGLEFINANCE($A44,""price"",K45),2,2)"),51.94)</f>
        <v>51.94</v>
      </c>
      <c r="L46" s="5">
        <f>IFERROR(__xludf.DUMMYFUNCTION("index(GOOGLEFINANCE($A44,""price"",L45),2,2)"),51.3)</f>
        <v>51.3</v>
      </c>
      <c r="M46" s="5">
        <f>IFERROR(__xludf.DUMMYFUNCTION("index(GOOGLEFINANCE($A44,""price"",M45),2,2)"),52.5)</f>
        <v>52.5</v>
      </c>
      <c r="N46" s="5">
        <f>IFERROR(__xludf.DUMMYFUNCTION("index(GOOGLEFINANCE($A44,""price"",N45),2,2)"),51.41)</f>
        <v>51.41</v>
      </c>
      <c r="O46" s="5">
        <f>IFERROR(__xludf.DUMMYFUNCTION("index(GOOGLEFINANCE($A44,""price"",O45),2,2)"),59.73)</f>
        <v>59.73</v>
      </c>
      <c r="P46" s="22"/>
    </row>
    <row r="47">
      <c r="A47" s="3" t="s">
        <v>3</v>
      </c>
      <c r="C47" s="6">
        <f t="shared" ref="C47:O47" si="9">(C46-$B46)/$B46</f>
        <v>-0.01444223108</v>
      </c>
      <c r="D47" s="6">
        <f t="shared" si="9"/>
        <v>-0.03087649402</v>
      </c>
      <c r="E47" s="6">
        <f t="shared" si="9"/>
        <v>-0.0438247012</v>
      </c>
      <c r="F47" s="6">
        <f t="shared" si="9"/>
        <v>-0.09561752988</v>
      </c>
      <c r="G47" s="6">
        <f t="shared" si="9"/>
        <v>-0.1243359894</v>
      </c>
      <c r="H47" s="6">
        <f t="shared" si="9"/>
        <v>-0.2141434263</v>
      </c>
      <c r="I47" s="6">
        <f t="shared" si="9"/>
        <v>-0.187749004</v>
      </c>
      <c r="J47" s="6">
        <f t="shared" si="9"/>
        <v>-0.1367861886</v>
      </c>
      <c r="K47" s="6">
        <f t="shared" si="9"/>
        <v>-0.1377822045</v>
      </c>
      <c r="L47" s="6">
        <f t="shared" si="9"/>
        <v>-0.1484063745</v>
      </c>
      <c r="M47" s="6">
        <f t="shared" si="9"/>
        <v>-0.1284860558</v>
      </c>
      <c r="N47" s="6">
        <f t="shared" si="9"/>
        <v>-0.1465803453</v>
      </c>
      <c r="O47" s="6">
        <f t="shared" si="9"/>
        <v>-0.008466135458</v>
      </c>
      <c r="P47" s="20"/>
    </row>
    <row r="49">
      <c r="A49" s="21" t="s">
        <v>16</v>
      </c>
      <c r="P49" s="22"/>
    </row>
    <row r="50">
      <c r="A50" s="3" t="s">
        <v>1</v>
      </c>
      <c r="B50" s="1">
        <v>44958.0</v>
      </c>
      <c r="C50" s="1">
        <v>44965.0</v>
      </c>
      <c r="D50" s="1">
        <v>44972.0</v>
      </c>
      <c r="E50" s="1">
        <v>44979.0</v>
      </c>
      <c r="F50" s="1">
        <v>44986.0</v>
      </c>
      <c r="G50" s="1">
        <v>44993.0</v>
      </c>
      <c r="H50" s="1">
        <v>45000.0</v>
      </c>
      <c r="I50" s="1">
        <v>45007.0</v>
      </c>
      <c r="J50" s="1">
        <v>45014.0</v>
      </c>
      <c r="K50" s="1">
        <v>45021.0</v>
      </c>
      <c r="L50" s="1">
        <v>45028.0</v>
      </c>
      <c r="M50" s="1">
        <v>45035.0</v>
      </c>
      <c r="N50" s="1">
        <v>45042.0</v>
      </c>
      <c r="O50" s="1">
        <v>45049.0</v>
      </c>
      <c r="P50" s="23"/>
    </row>
    <row r="51">
      <c r="A51" s="3" t="s">
        <v>2</v>
      </c>
      <c r="B51" s="5">
        <f>IFERROR(__xludf.DUMMYFUNCTION("index(GOOGLEFINANCE($A49,""price"",B50),2,2)"),3.81)</f>
        <v>3.81</v>
      </c>
      <c r="C51" s="5">
        <f>IFERROR(__xludf.DUMMYFUNCTION("index(GOOGLEFINANCE($A49,""price"",C50),2,2)"),3.84)</f>
        <v>3.84</v>
      </c>
      <c r="D51" s="5">
        <f>IFERROR(__xludf.DUMMYFUNCTION("index(GOOGLEFINANCE($A49,""price"",D50),2,2)"),3.86)</f>
        <v>3.86</v>
      </c>
      <c r="E51" s="5">
        <f>IFERROR(__xludf.DUMMYFUNCTION("index(GOOGLEFINANCE($A49,""price"",E50),2,2)"),3.81)</f>
        <v>3.81</v>
      </c>
      <c r="F51" s="5">
        <f>IFERROR(__xludf.DUMMYFUNCTION("index(GOOGLEFINANCE($A49,""price"",F50),2,2)"),3.79)</f>
        <v>3.79</v>
      </c>
      <c r="G51" s="5">
        <f>IFERROR(__xludf.DUMMYFUNCTION("index(GOOGLEFINANCE($A49,""price"",G50),2,2)"),3.8)</f>
        <v>3.8</v>
      </c>
      <c r="H51" s="5">
        <f>IFERROR(__xludf.DUMMYFUNCTION("index(GOOGLEFINANCE($A49,""price"",H50),2,2)"),3.4)</f>
        <v>3.4</v>
      </c>
      <c r="I51" s="5">
        <f>IFERROR(__xludf.DUMMYFUNCTION("index(GOOGLEFINANCE($A49,""price"",I50),2,2)"),3.52)</f>
        <v>3.52</v>
      </c>
      <c r="J51" s="5">
        <f>IFERROR(__xludf.DUMMYFUNCTION("index(GOOGLEFINANCE($A49,""price"",J50),2,2)"),3.67)</f>
        <v>3.67</v>
      </c>
      <c r="K51" s="5">
        <f>IFERROR(__xludf.DUMMYFUNCTION("index(GOOGLEFINANCE($A49,""price"",K50),2,2)"),3.76)</f>
        <v>3.76</v>
      </c>
      <c r="L51" s="5">
        <f>IFERROR(__xludf.DUMMYFUNCTION("index(GOOGLEFINANCE($A49,""price"",L50),2,2)"),3.8)</f>
        <v>3.8</v>
      </c>
      <c r="M51" s="5">
        <f>IFERROR(__xludf.DUMMYFUNCTION("index(GOOGLEFINANCE($A49,""price"",M50),2,2)"),3.53)</f>
        <v>3.53</v>
      </c>
      <c r="N51" s="5">
        <f>IFERROR(__xludf.DUMMYFUNCTION("index(GOOGLEFINANCE($A49,""price"",N50),2,2)"),3.43)</f>
        <v>3.43</v>
      </c>
      <c r="O51" s="5">
        <f>IFERROR(__xludf.DUMMYFUNCTION("index(GOOGLEFINANCE($A49,""price"",O50),2,2)"),3.28)</f>
        <v>3.28</v>
      </c>
      <c r="P51" s="22"/>
    </row>
    <row r="52">
      <c r="A52" s="3" t="s">
        <v>3</v>
      </c>
      <c r="C52" s="6">
        <f t="shared" ref="C52:O52" si="10">(C51-$B51)/$B51</f>
        <v>0.007874015748</v>
      </c>
      <c r="D52" s="6">
        <f t="shared" si="10"/>
        <v>0.01312335958</v>
      </c>
      <c r="E52" s="6">
        <f t="shared" si="10"/>
        <v>0</v>
      </c>
      <c r="F52" s="6">
        <f t="shared" si="10"/>
        <v>-0.005249343832</v>
      </c>
      <c r="G52" s="6">
        <f t="shared" si="10"/>
        <v>-0.002624671916</v>
      </c>
      <c r="H52" s="6">
        <f t="shared" si="10"/>
        <v>-0.1076115486</v>
      </c>
      <c r="I52" s="6">
        <f t="shared" si="10"/>
        <v>-0.07611548556</v>
      </c>
      <c r="J52" s="6">
        <f t="shared" si="10"/>
        <v>-0.03674540682</v>
      </c>
      <c r="K52" s="6">
        <f t="shared" si="10"/>
        <v>-0.01312335958</v>
      </c>
      <c r="L52" s="6">
        <f t="shared" si="10"/>
        <v>-0.002624671916</v>
      </c>
      <c r="M52" s="6">
        <f t="shared" si="10"/>
        <v>-0.07349081365</v>
      </c>
      <c r="N52" s="6">
        <f t="shared" si="10"/>
        <v>-0.09973753281</v>
      </c>
      <c r="O52" s="6">
        <f t="shared" si="10"/>
        <v>-0.1391076115</v>
      </c>
      <c r="P52" s="20"/>
    </row>
    <row r="54">
      <c r="A54" s="21" t="s">
        <v>0</v>
      </c>
      <c r="P54" s="22"/>
    </row>
    <row r="55">
      <c r="A55" s="3" t="s">
        <v>1</v>
      </c>
      <c r="B55" s="1">
        <v>44958.0</v>
      </c>
      <c r="C55" s="1">
        <v>44965.0</v>
      </c>
      <c r="D55" s="1">
        <v>44972.0</v>
      </c>
      <c r="E55" s="1">
        <v>44979.0</v>
      </c>
      <c r="F55" s="1">
        <v>44986.0</v>
      </c>
      <c r="G55" s="1">
        <v>44993.0</v>
      </c>
      <c r="H55" s="1">
        <v>45000.0</v>
      </c>
      <c r="I55" s="1">
        <v>45007.0</v>
      </c>
      <c r="J55" s="1">
        <v>45014.0</v>
      </c>
      <c r="K55" s="1">
        <v>45021.0</v>
      </c>
      <c r="L55" s="1">
        <v>45028.0</v>
      </c>
      <c r="M55" s="1">
        <v>45035.0</v>
      </c>
      <c r="N55" s="1">
        <v>45042.0</v>
      </c>
      <c r="O55" s="1">
        <v>45049.0</v>
      </c>
      <c r="P55" s="23"/>
    </row>
    <row r="56">
      <c r="A56" s="3" t="s">
        <v>2</v>
      </c>
      <c r="B56" s="5">
        <f>IFERROR(__xludf.DUMMYFUNCTION("index(GOOGLEFINANCE($A54,""price"",B55),2,2)"),24.54)</f>
        <v>24.54</v>
      </c>
      <c r="C56" s="5">
        <f>IFERROR(__xludf.DUMMYFUNCTION("index(GOOGLEFINANCE($A54,""price"",C55),2,2)"),24.15)</f>
        <v>24.15</v>
      </c>
      <c r="D56" s="5">
        <f>IFERROR(__xludf.DUMMYFUNCTION("index(GOOGLEFINANCE($A54,""price"",D55),2,2)"),24.92)</f>
        <v>24.92</v>
      </c>
      <c r="E56" s="5">
        <f>IFERROR(__xludf.DUMMYFUNCTION("index(GOOGLEFINANCE($A54,""price"",E55),2,2)"),23.26)</f>
        <v>23.26</v>
      </c>
      <c r="F56" s="5">
        <f>IFERROR(__xludf.DUMMYFUNCTION("index(GOOGLEFINANCE($A54,""price"",F55),2,2)"),25.24)</f>
        <v>25.24</v>
      </c>
      <c r="G56" s="5">
        <f>IFERROR(__xludf.DUMMYFUNCTION("index(GOOGLEFINANCE($A54,""price"",G55),2,2)"),25.15)</f>
        <v>25.15</v>
      </c>
      <c r="H56" s="5">
        <f>IFERROR(__xludf.DUMMYFUNCTION("index(GOOGLEFINANCE($A54,""price"",H55),2,2)"),22.78)</f>
        <v>22.78</v>
      </c>
      <c r="I56" s="5">
        <f>IFERROR(__xludf.DUMMYFUNCTION("index(GOOGLEFINANCE($A54,""price"",I55),2,2)"),23.5)</f>
        <v>23.5</v>
      </c>
      <c r="J56" s="5">
        <f>IFERROR(__xludf.DUMMYFUNCTION("index(GOOGLEFINANCE($A54,""price"",J55),2,2)"),24.11)</f>
        <v>24.11</v>
      </c>
      <c r="K56" s="5">
        <f>IFERROR(__xludf.DUMMYFUNCTION("index(GOOGLEFINANCE($A54,""price"",K55),2,2)"),25.41)</f>
        <v>25.41</v>
      </c>
      <c r="L56" s="5">
        <f>IFERROR(__xludf.DUMMYFUNCTION("index(GOOGLEFINANCE($A54,""price"",L55),2,2)"),25.76)</f>
        <v>25.76</v>
      </c>
      <c r="M56" s="5">
        <f>IFERROR(__xludf.DUMMYFUNCTION("index(GOOGLEFINANCE($A54,""price"",M55),2,2)"),25.7)</f>
        <v>25.7</v>
      </c>
      <c r="N56" s="5">
        <f>IFERROR(__xludf.DUMMYFUNCTION("index(GOOGLEFINANCE($A54,""price"",N55),2,2)"),24.69)</f>
        <v>24.69</v>
      </c>
      <c r="O56" s="5">
        <f>IFERROR(__xludf.DUMMYFUNCTION("index(GOOGLEFINANCE($A54,""price"",O55),2,2)"),24.1)</f>
        <v>24.1</v>
      </c>
      <c r="P56" s="22"/>
    </row>
    <row r="57">
      <c r="A57" s="3" t="s">
        <v>3</v>
      </c>
      <c r="C57" s="6">
        <f t="shared" ref="C57:O57" si="11">(C56-$B56)/$B56</f>
        <v>-0.01589242054</v>
      </c>
      <c r="D57" s="6">
        <f t="shared" si="11"/>
        <v>0.01548492258</v>
      </c>
      <c r="E57" s="6">
        <f t="shared" si="11"/>
        <v>-0.0521597392</v>
      </c>
      <c r="F57" s="6">
        <f t="shared" si="11"/>
        <v>0.02852485738</v>
      </c>
      <c r="G57" s="6">
        <f t="shared" si="11"/>
        <v>0.02485737571</v>
      </c>
      <c r="H57" s="6">
        <f t="shared" si="11"/>
        <v>-0.0717196414</v>
      </c>
      <c r="I57" s="6">
        <f t="shared" si="11"/>
        <v>-0.0423797881</v>
      </c>
      <c r="J57" s="6">
        <f t="shared" si="11"/>
        <v>-0.01752241239</v>
      </c>
      <c r="K57" s="6">
        <f t="shared" si="11"/>
        <v>0.03545232274</v>
      </c>
      <c r="L57" s="6">
        <f t="shared" si="11"/>
        <v>0.04971475143</v>
      </c>
      <c r="M57" s="6">
        <f t="shared" si="11"/>
        <v>0.04726976365</v>
      </c>
      <c r="N57" s="6">
        <f t="shared" si="11"/>
        <v>0.006112469438</v>
      </c>
      <c r="O57" s="6">
        <f t="shared" si="11"/>
        <v>-0.01792991035</v>
      </c>
      <c r="P57" s="20"/>
    </row>
    <row r="59">
      <c r="A59" s="21" t="s">
        <v>34</v>
      </c>
      <c r="P59" s="22"/>
    </row>
    <row r="60">
      <c r="A60" s="3" t="s">
        <v>1</v>
      </c>
      <c r="B60" s="1">
        <v>44958.0</v>
      </c>
      <c r="C60" s="1">
        <v>44965.0</v>
      </c>
      <c r="D60" s="1">
        <v>44972.0</v>
      </c>
      <c r="E60" s="1">
        <v>44979.0</v>
      </c>
      <c r="F60" s="1">
        <v>44986.0</v>
      </c>
      <c r="G60" s="1">
        <v>44993.0</v>
      </c>
      <c r="H60" s="1">
        <v>45000.0</v>
      </c>
      <c r="I60" s="1">
        <v>45007.0</v>
      </c>
      <c r="J60" s="1">
        <v>45014.0</v>
      </c>
      <c r="K60" s="1">
        <v>45021.0</v>
      </c>
      <c r="L60" s="1">
        <v>45028.0</v>
      </c>
      <c r="M60" s="1">
        <v>45035.0</v>
      </c>
      <c r="N60" s="1">
        <v>45042.0</v>
      </c>
      <c r="O60" s="1">
        <v>45049.0</v>
      </c>
      <c r="P60" s="23"/>
    </row>
    <row r="61">
      <c r="A61" s="3" t="s">
        <v>2</v>
      </c>
      <c r="B61" s="5">
        <f>IFERROR(__xludf.DUMMYFUNCTION("index(GOOGLEFINANCE($A59,""price"",B60),2,2)"),171.56)</f>
        <v>171.56</v>
      </c>
      <c r="C61" s="5">
        <f>IFERROR(__xludf.DUMMYFUNCTION("index(GOOGLEFINANCE($A59,""price"",C60),2,2)"),171.16)</f>
        <v>171.16</v>
      </c>
      <c r="D61" s="5">
        <f>IFERROR(__xludf.DUMMYFUNCTION("index(GOOGLEFINANCE($A59,""price"",D60),2,2)"),176.01)</f>
        <v>176.01</v>
      </c>
      <c r="E61" s="5">
        <f>IFERROR(__xludf.DUMMYFUNCTION("index(GOOGLEFINANCE($A59,""price"",E60),2,2)"),176.12)</f>
        <v>176.12</v>
      </c>
      <c r="F61" s="5">
        <f>IFERROR(__xludf.DUMMYFUNCTION("index(GOOGLEFINANCE($A59,""price"",F60),2,2)"),171.33)</f>
        <v>171.33</v>
      </c>
      <c r="G61" s="5">
        <f>IFERROR(__xludf.DUMMYFUNCTION("index(GOOGLEFINANCE($A59,""price"",G60),2,2)"),173.11)</f>
        <v>173.11</v>
      </c>
      <c r="H61" s="5">
        <f>IFERROR(__xludf.DUMMYFUNCTION("index(GOOGLEFINANCE($A59,""price"",H60),2,2)"),176.63)</f>
        <v>176.63</v>
      </c>
      <c r="I61" s="5">
        <f>IFERROR(__xludf.DUMMYFUNCTION("index(GOOGLEFINANCE($A59,""price"",I60),2,2)"),176.51)</f>
        <v>176.51</v>
      </c>
      <c r="J61" s="5">
        <f>IFERROR(__xludf.DUMMYFUNCTION("index(GOOGLEFINANCE($A59,""price"",J60),2,2)"),180.67)</f>
        <v>180.67</v>
      </c>
      <c r="K61" s="5">
        <f>IFERROR(__xludf.DUMMYFUNCTION("index(GOOGLEFINANCE($A59,""price"",K60),2,2)"),183.64)</f>
        <v>183.64</v>
      </c>
      <c r="L61" s="5">
        <f>IFERROR(__xludf.DUMMYFUNCTION("index(GOOGLEFINANCE($A59,""price"",L60),2,2)"),182.56)</f>
        <v>182.56</v>
      </c>
      <c r="M61" s="5">
        <f>IFERROR(__xludf.DUMMYFUNCTION("index(GOOGLEFINANCE($A59,""price"",M60),2,2)"),184.72)</f>
        <v>184.72</v>
      </c>
      <c r="N61" s="5">
        <f>IFERROR(__xludf.DUMMYFUNCTION("index(GOOGLEFINANCE($A59,""price"",N60),2,2)"),188.54)</f>
        <v>188.54</v>
      </c>
      <c r="O61" s="5">
        <f>IFERROR(__xludf.DUMMYFUNCTION("index(GOOGLEFINANCE($A59,""price"",O60),2,2)"),192.18)</f>
        <v>192.18</v>
      </c>
      <c r="P61" s="22"/>
    </row>
    <row r="62">
      <c r="A62" s="3" t="s">
        <v>3</v>
      </c>
      <c r="C62" s="6">
        <f t="shared" ref="C62:O62" si="12">(C61-$B61)/$B61</f>
        <v>-0.002331545815</v>
      </c>
      <c r="D62" s="6">
        <f t="shared" si="12"/>
        <v>0.02593844719</v>
      </c>
      <c r="E62" s="6">
        <f t="shared" si="12"/>
        <v>0.02657962229</v>
      </c>
      <c r="F62" s="6">
        <f t="shared" si="12"/>
        <v>-0.001340638844</v>
      </c>
      <c r="G62" s="6">
        <f t="shared" si="12"/>
        <v>0.009034740033</v>
      </c>
      <c r="H62" s="6">
        <f t="shared" si="12"/>
        <v>0.0295523432</v>
      </c>
      <c r="I62" s="6">
        <f t="shared" si="12"/>
        <v>0.02885287946</v>
      </c>
      <c r="J62" s="6">
        <f t="shared" si="12"/>
        <v>0.05310095593</v>
      </c>
      <c r="K62" s="6">
        <f t="shared" si="12"/>
        <v>0.07041268361</v>
      </c>
      <c r="L62" s="6">
        <f t="shared" si="12"/>
        <v>0.06411750991</v>
      </c>
      <c r="M62" s="6">
        <f t="shared" si="12"/>
        <v>0.07670785731</v>
      </c>
      <c r="N62" s="6">
        <f t="shared" si="12"/>
        <v>0.09897411984</v>
      </c>
      <c r="O62" s="6">
        <f t="shared" si="12"/>
        <v>0.1201911868</v>
      </c>
      <c r="P62" s="20"/>
    </row>
    <row r="64">
      <c r="A64" s="21" t="s">
        <v>35</v>
      </c>
      <c r="P64" s="22"/>
    </row>
    <row r="65">
      <c r="A65" s="3" t="s">
        <v>1</v>
      </c>
      <c r="B65" s="1">
        <v>44958.0</v>
      </c>
      <c r="C65" s="1">
        <v>44965.0</v>
      </c>
      <c r="D65" s="1">
        <v>44972.0</v>
      </c>
      <c r="E65" s="1">
        <v>44979.0</v>
      </c>
      <c r="F65" s="1">
        <v>44986.0</v>
      </c>
      <c r="G65" s="1">
        <v>44993.0</v>
      </c>
      <c r="H65" s="1">
        <v>45000.0</v>
      </c>
      <c r="I65" s="1">
        <v>45007.0</v>
      </c>
      <c r="J65" s="1">
        <v>45014.0</v>
      </c>
      <c r="K65" s="1">
        <v>45021.0</v>
      </c>
      <c r="L65" s="1">
        <v>45028.0</v>
      </c>
      <c r="M65" s="1">
        <v>45035.0</v>
      </c>
      <c r="N65" s="1">
        <v>45042.0</v>
      </c>
      <c r="O65" s="1">
        <v>45049.0</v>
      </c>
      <c r="P65" s="23"/>
    </row>
    <row r="66">
      <c r="A66" s="3" t="s">
        <v>2</v>
      </c>
      <c r="B66" s="5">
        <f>IFERROR(__xludf.DUMMYFUNCTION("index(GOOGLEFINANCE($A64,""price"",B65),2,2)"),73.28)</f>
        <v>73.28</v>
      </c>
      <c r="C66" s="5">
        <f>IFERROR(__xludf.DUMMYFUNCTION("index(GOOGLEFINANCE($A64,""price"",C65),2,2)"),70.46)</f>
        <v>70.46</v>
      </c>
      <c r="D66" s="5">
        <f>IFERROR(__xludf.DUMMYFUNCTION("index(GOOGLEFINANCE($A64,""price"",D65),2,2)"),69.27)</f>
        <v>69.27</v>
      </c>
      <c r="E66" s="5">
        <f>IFERROR(__xludf.DUMMYFUNCTION("index(GOOGLEFINANCE($A64,""price"",E65),2,2)"),68.36)</f>
        <v>68.36</v>
      </c>
      <c r="F66" s="5">
        <f>IFERROR(__xludf.DUMMYFUNCTION("index(GOOGLEFINANCE($A64,""price"",F65),2,2)"),68.12)</f>
        <v>68.12</v>
      </c>
      <c r="G66" s="5">
        <f>IFERROR(__xludf.DUMMYFUNCTION("index(GOOGLEFINANCE($A64,""price"",G65),2,2)"),66.12)</f>
        <v>66.12</v>
      </c>
      <c r="H66" s="5">
        <f>IFERROR(__xludf.DUMMYFUNCTION("index(GOOGLEFINANCE($A64,""price"",H65),2,2)"),61.24)</f>
        <v>61.24</v>
      </c>
      <c r="I66" s="5">
        <f>IFERROR(__xludf.DUMMYFUNCTION("index(GOOGLEFINANCE($A64,""price"",I65),2,2)"),63.13)</f>
        <v>63.13</v>
      </c>
      <c r="J66" s="5">
        <f>IFERROR(__xludf.DUMMYFUNCTION("index(GOOGLEFINANCE($A64,""price"",J65),2,2)"),64.29)</f>
        <v>64.29</v>
      </c>
      <c r="K66" s="5">
        <f>IFERROR(__xludf.DUMMYFUNCTION("index(GOOGLEFINANCE($A64,""price"",K65),2,2)"),64.46)</f>
        <v>64.46</v>
      </c>
      <c r="L66" s="5">
        <f>IFERROR(__xludf.DUMMYFUNCTION("index(GOOGLEFINANCE($A64,""price"",L65),2,2)"),65.98)</f>
        <v>65.98</v>
      </c>
      <c r="M66" s="5">
        <f>IFERROR(__xludf.DUMMYFUNCTION("index(GOOGLEFINANCE($A64,""price"",M65),2,2)"),66.94)</f>
        <v>66.94</v>
      </c>
      <c r="N66" s="5">
        <f>IFERROR(__xludf.DUMMYFUNCTION("index(GOOGLEFINANCE($A64,""price"",N65),2,2)"),65.39)</f>
        <v>65.39</v>
      </c>
      <c r="O66" s="5">
        <f>IFERROR(__xludf.DUMMYFUNCTION("index(GOOGLEFINANCE($A64,""price"",O65),2,2)"),67.36)</f>
        <v>67.36</v>
      </c>
      <c r="P66" s="22"/>
    </row>
    <row r="67">
      <c r="A67" s="3" t="s">
        <v>3</v>
      </c>
      <c r="C67" s="6">
        <f t="shared" ref="C67:O67" si="13">(C66-$B66)/$B66</f>
        <v>-0.03848253275</v>
      </c>
      <c r="D67" s="6">
        <f t="shared" si="13"/>
        <v>-0.05472161572</v>
      </c>
      <c r="E67" s="6">
        <f t="shared" si="13"/>
        <v>-0.06713973799</v>
      </c>
      <c r="F67" s="6">
        <f t="shared" si="13"/>
        <v>-0.07041484716</v>
      </c>
      <c r="G67" s="6">
        <f t="shared" si="13"/>
        <v>-0.09770742358</v>
      </c>
      <c r="H67" s="6">
        <f t="shared" si="13"/>
        <v>-0.16430131</v>
      </c>
      <c r="I67" s="6">
        <f t="shared" si="13"/>
        <v>-0.1385098253</v>
      </c>
      <c r="J67" s="6">
        <f t="shared" si="13"/>
        <v>-0.122680131</v>
      </c>
      <c r="K67" s="6">
        <f t="shared" si="13"/>
        <v>-0.120360262</v>
      </c>
      <c r="L67" s="6">
        <f t="shared" si="13"/>
        <v>-0.09961790393</v>
      </c>
      <c r="M67" s="6">
        <f t="shared" si="13"/>
        <v>-0.08651746725</v>
      </c>
      <c r="N67" s="6">
        <f t="shared" si="13"/>
        <v>-0.107669214</v>
      </c>
      <c r="O67" s="6">
        <f t="shared" si="13"/>
        <v>-0.0807860262</v>
      </c>
      <c r="P67" s="20"/>
    </row>
    <row r="69">
      <c r="A69" s="21" t="s">
        <v>36</v>
      </c>
      <c r="P69" s="22"/>
    </row>
    <row r="70">
      <c r="A70" s="3" t="s">
        <v>1</v>
      </c>
      <c r="B70" s="1">
        <v>44958.0</v>
      </c>
      <c r="C70" s="1">
        <v>44965.0</v>
      </c>
      <c r="D70" s="1">
        <v>44972.0</v>
      </c>
      <c r="E70" s="1">
        <v>44979.0</v>
      </c>
      <c r="F70" s="1">
        <v>44986.0</v>
      </c>
      <c r="G70" s="1">
        <v>44993.0</v>
      </c>
      <c r="H70" s="1">
        <v>45000.0</v>
      </c>
      <c r="I70" s="1">
        <v>45007.0</v>
      </c>
      <c r="J70" s="1">
        <v>45014.0</v>
      </c>
      <c r="K70" s="1">
        <v>45021.0</v>
      </c>
      <c r="L70" s="1">
        <v>45028.0</v>
      </c>
      <c r="M70" s="1">
        <v>45035.0</v>
      </c>
      <c r="N70" s="1">
        <v>45042.0</v>
      </c>
      <c r="O70" s="1">
        <v>45049.0</v>
      </c>
      <c r="P70" s="23"/>
    </row>
    <row r="71">
      <c r="A71" s="3" t="s">
        <v>2</v>
      </c>
      <c r="B71" s="5">
        <f>IFERROR(__xludf.DUMMYFUNCTION("index(GOOGLEFINANCE($A69,""price"",B70),2,2)"),115.0)</f>
        <v>115</v>
      </c>
      <c r="C71" s="5">
        <f>IFERROR(__xludf.DUMMYFUNCTION("index(GOOGLEFINANCE($A69,""price"",C70),2,2)"),111.9)</f>
        <v>111.9</v>
      </c>
      <c r="D71" s="5">
        <f>IFERROR(__xludf.DUMMYFUNCTION("index(GOOGLEFINANCE($A69,""price"",D70),2,2)"),115.31)</f>
        <v>115.31</v>
      </c>
      <c r="E71" s="5">
        <f>IFERROR(__xludf.DUMMYFUNCTION("index(GOOGLEFINANCE($A69,""price"",E70),2,2)"),102.89)</f>
        <v>102.89</v>
      </c>
      <c r="F71" s="5">
        <f>IFERROR(__xludf.DUMMYFUNCTION("index(GOOGLEFINANCE($A69,""price"",F70),2,2)"),110.35)</f>
        <v>110.35</v>
      </c>
      <c r="G71" s="5">
        <f>IFERROR(__xludf.DUMMYFUNCTION("index(GOOGLEFINANCE($A69,""price"",G70),2,2)"),107.33)</f>
        <v>107.33</v>
      </c>
      <c r="H71" s="5">
        <f>IFERROR(__xludf.DUMMYFUNCTION("index(GOOGLEFINANCE($A69,""price"",H70),2,2)"),103.01)</f>
        <v>103.01</v>
      </c>
      <c r="I71" s="5">
        <f>IFERROR(__xludf.DUMMYFUNCTION("index(GOOGLEFINANCE($A69,""price"",I70),2,2)"),100.09)</f>
        <v>100.09</v>
      </c>
      <c r="J71" s="5">
        <f>IFERROR(__xludf.DUMMYFUNCTION("index(GOOGLEFINANCE($A69,""price"",J70),2,2)"),98.03)</f>
        <v>98.03</v>
      </c>
      <c r="K71" s="5">
        <f>IFERROR(__xludf.DUMMYFUNCTION("index(GOOGLEFINANCE($A69,""price"",K70),2,2)"),96.39)</f>
        <v>96.39</v>
      </c>
      <c r="L71" s="5">
        <f>IFERROR(__xludf.DUMMYFUNCTION("index(GOOGLEFINANCE($A69,""price"",L70),2,2)"),96.96)</f>
        <v>96.96</v>
      </c>
      <c r="M71" s="5">
        <f>IFERROR(__xludf.DUMMYFUNCTION("index(GOOGLEFINANCE($A69,""price"",M70),2,2)"),96.75)</f>
        <v>96.75</v>
      </c>
      <c r="N71" s="5">
        <f>IFERROR(__xludf.DUMMYFUNCTION("index(GOOGLEFINANCE($A69,""price"",N70),2,2)"),91.19)</f>
        <v>91.19</v>
      </c>
      <c r="O71" s="5">
        <f>IFERROR(__xludf.DUMMYFUNCTION("index(GOOGLEFINANCE($A69,""price"",O70),2,2)"),85.2)</f>
        <v>85.2</v>
      </c>
      <c r="P71" s="22"/>
    </row>
    <row r="72">
      <c r="A72" s="3" t="s">
        <v>3</v>
      </c>
      <c r="C72" s="6">
        <f t="shared" ref="C72:O72" si="14">(C71-$B71)/$B71</f>
        <v>-0.02695652174</v>
      </c>
      <c r="D72" s="6">
        <f t="shared" si="14"/>
        <v>0.002695652174</v>
      </c>
      <c r="E72" s="6">
        <f t="shared" si="14"/>
        <v>-0.1053043478</v>
      </c>
      <c r="F72" s="6">
        <f t="shared" si="14"/>
        <v>-0.04043478261</v>
      </c>
      <c r="G72" s="6">
        <f t="shared" si="14"/>
        <v>-0.06669565217</v>
      </c>
      <c r="H72" s="6">
        <f t="shared" si="14"/>
        <v>-0.1042608696</v>
      </c>
      <c r="I72" s="6">
        <f t="shared" si="14"/>
        <v>-0.1296521739</v>
      </c>
      <c r="J72" s="6">
        <f t="shared" si="14"/>
        <v>-0.1475652174</v>
      </c>
      <c r="K72" s="6">
        <f t="shared" si="14"/>
        <v>-0.161826087</v>
      </c>
      <c r="L72" s="6">
        <f t="shared" si="14"/>
        <v>-0.1568695652</v>
      </c>
      <c r="M72" s="6">
        <f t="shared" si="14"/>
        <v>-0.1586956522</v>
      </c>
      <c r="N72" s="6">
        <f t="shared" si="14"/>
        <v>-0.2070434783</v>
      </c>
      <c r="O72" s="6">
        <f t="shared" si="14"/>
        <v>-0.2591304348</v>
      </c>
      <c r="P72" s="20"/>
    </row>
    <row r="74">
      <c r="A74" s="21" t="s">
        <v>37</v>
      </c>
      <c r="P74" s="22"/>
    </row>
    <row r="75">
      <c r="A75" s="3" t="s">
        <v>1</v>
      </c>
      <c r="B75" s="1">
        <v>44958.0</v>
      </c>
      <c r="C75" s="1">
        <v>44965.0</v>
      </c>
      <c r="D75" s="1">
        <v>44972.0</v>
      </c>
      <c r="E75" s="1">
        <v>44979.0</v>
      </c>
      <c r="F75" s="1">
        <v>44986.0</v>
      </c>
      <c r="G75" s="1">
        <v>44993.0</v>
      </c>
      <c r="H75" s="1">
        <v>45000.0</v>
      </c>
      <c r="I75" s="1">
        <v>45007.0</v>
      </c>
      <c r="J75" s="1">
        <v>45014.0</v>
      </c>
      <c r="K75" s="1">
        <v>45021.0</v>
      </c>
      <c r="L75" s="1">
        <v>45028.0</v>
      </c>
      <c r="M75" s="1">
        <v>45035.0</v>
      </c>
      <c r="N75" s="1">
        <v>45042.0</v>
      </c>
      <c r="O75" s="1">
        <v>45049.0</v>
      </c>
      <c r="P75" s="23"/>
    </row>
    <row r="76">
      <c r="A76" s="3" t="s">
        <v>2</v>
      </c>
      <c r="B76" s="5">
        <f>IFERROR(__xludf.DUMMYFUNCTION("index(GOOGLEFINANCE($A74,""price"",B75),2,2)"),3.36)</f>
        <v>3.36</v>
      </c>
      <c r="C76" s="5">
        <f>IFERROR(__xludf.DUMMYFUNCTION("index(GOOGLEFINANCE($A74,""price"",C75),2,2)"),3.27)</f>
        <v>3.27</v>
      </c>
      <c r="D76" s="5">
        <f>IFERROR(__xludf.DUMMYFUNCTION("index(GOOGLEFINANCE($A74,""price"",D75),2,2)"),3.21)</f>
        <v>3.21</v>
      </c>
      <c r="E76" s="5">
        <f>IFERROR(__xludf.DUMMYFUNCTION("index(GOOGLEFINANCE($A74,""price"",E75),2,2)"),3.4)</f>
        <v>3.4</v>
      </c>
      <c r="F76" s="5">
        <f>IFERROR(__xludf.DUMMYFUNCTION("index(GOOGLEFINANCE($A74,""price"",F75),2,2)"),3.81)</f>
        <v>3.81</v>
      </c>
      <c r="G76" s="5">
        <f>IFERROR(__xludf.DUMMYFUNCTION("index(GOOGLEFINANCE($A74,""price"",G75),2,2)"),3.69)</f>
        <v>3.69</v>
      </c>
      <c r="H76" s="5">
        <f>IFERROR(__xludf.DUMMYFUNCTION("index(GOOGLEFINANCE($A74,""price"",H75),2,2)"),3.46)</f>
        <v>3.46</v>
      </c>
      <c r="I76" s="5">
        <f>IFERROR(__xludf.DUMMYFUNCTION("index(GOOGLEFINANCE($A74,""price"",I75),2,2)"),3.57)</f>
        <v>3.57</v>
      </c>
      <c r="J76" s="5">
        <f>IFERROR(__xludf.DUMMYFUNCTION("index(GOOGLEFINANCE($A74,""price"",J75),2,2)"),3.69)</f>
        <v>3.69</v>
      </c>
      <c r="K76" s="5">
        <f>IFERROR(__xludf.DUMMYFUNCTION("index(GOOGLEFINANCE($A74,""price"",K75),2,2)"),3.65)</f>
        <v>3.65</v>
      </c>
      <c r="L76" s="5">
        <f>IFERROR(__xludf.DUMMYFUNCTION("index(GOOGLEFINANCE($A74,""price"",L75),2,2)"),3.7)</f>
        <v>3.7</v>
      </c>
      <c r="M76" s="5">
        <f>IFERROR(__xludf.DUMMYFUNCTION("index(GOOGLEFINANCE($A74,""price"",M75),2,2)"),3.71)</f>
        <v>3.71</v>
      </c>
      <c r="N76" s="5">
        <f>IFERROR(__xludf.DUMMYFUNCTION("index(GOOGLEFINANCE($A74,""price"",N75),2,2)"),3.6)</f>
        <v>3.6</v>
      </c>
      <c r="O76" s="5">
        <f>IFERROR(__xludf.DUMMYFUNCTION("index(GOOGLEFINANCE($A74,""price"",O75),2,2)"),3.46)</f>
        <v>3.46</v>
      </c>
      <c r="P76" s="22"/>
    </row>
    <row r="77">
      <c r="A77" s="3" t="s">
        <v>3</v>
      </c>
      <c r="C77" s="6">
        <f t="shared" ref="C77:O77" si="15">(C76-$B76)/$B76</f>
        <v>-0.02678571429</v>
      </c>
      <c r="D77" s="6">
        <f t="shared" si="15"/>
        <v>-0.04464285714</v>
      </c>
      <c r="E77" s="6">
        <f t="shared" si="15"/>
        <v>0.0119047619</v>
      </c>
      <c r="F77" s="6">
        <f t="shared" si="15"/>
        <v>0.1339285714</v>
      </c>
      <c r="G77" s="6">
        <f t="shared" si="15"/>
        <v>0.09821428571</v>
      </c>
      <c r="H77" s="6">
        <f t="shared" si="15"/>
        <v>0.02976190476</v>
      </c>
      <c r="I77" s="6">
        <f t="shared" si="15"/>
        <v>0.0625</v>
      </c>
      <c r="J77" s="6">
        <f t="shared" si="15"/>
        <v>0.09821428571</v>
      </c>
      <c r="K77" s="6">
        <f t="shared" si="15"/>
        <v>0.08630952381</v>
      </c>
      <c r="L77" s="6">
        <f t="shared" si="15"/>
        <v>0.1011904762</v>
      </c>
      <c r="M77" s="6">
        <f t="shared" si="15"/>
        <v>0.1041666667</v>
      </c>
      <c r="N77" s="6">
        <f t="shared" si="15"/>
        <v>0.07142857143</v>
      </c>
      <c r="O77" s="6">
        <f t="shared" si="15"/>
        <v>0.02976190476</v>
      </c>
      <c r="P77" s="20"/>
    </row>
    <row r="79">
      <c r="A79" s="21" t="s">
        <v>38</v>
      </c>
      <c r="P79" s="22"/>
    </row>
    <row r="80">
      <c r="A80" s="3" t="s">
        <v>1</v>
      </c>
      <c r="B80" s="1">
        <v>44958.0</v>
      </c>
      <c r="C80" s="1">
        <v>44965.0</v>
      </c>
      <c r="D80" s="1">
        <v>44972.0</v>
      </c>
      <c r="E80" s="1">
        <v>44979.0</v>
      </c>
      <c r="F80" s="1">
        <v>44986.0</v>
      </c>
      <c r="G80" s="1">
        <v>44993.0</v>
      </c>
      <c r="H80" s="1">
        <v>45000.0</v>
      </c>
      <c r="I80" s="1">
        <v>45007.0</v>
      </c>
      <c r="J80" s="1">
        <v>45014.0</v>
      </c>
      <c r="K80" s="1">
        <v>45021.0</v>
      </c>
      <c r="L80" s="1">
        <v>45028.0</v>
      </c>
      <c r="M80" s="1">
        <v>45035.0</v>
      </c>
      <c r="N80" s="1">
        <v>45042.0</v>
      </c>
      <c r="O80" s="1">
        <v>45049.0</v>
      </c>
      <c r="P80" s="23"/>
    </row>
    <row r="81">
      <c r="A81" s="3" t="s">
        <v>2</v>
      </c>
      <c r="B81" s="5">
        <f>IFERROR(__xludf.DUMMYFUNCTION("index(GOOGLEFINANCE($A79,""price"",B80),2,2)"),87.61)</f>
        <v>87.61</v>
      </c>
      <c r="C81" s="5">
        <f>IFERROR(__xludf.DUMMYFUNCTION("index(GOOGLEFINANCE($A79,""price"",C80),2,2)"),88.43)</f>
        <v>88.43</v>
      </c>
      <c r="D81" s="5">
        <f>IFERROR(__xludf.DUMMYFUNCTION("index(GOOGLEFINANCE($A79,""price"",D80),2,2)"),88.71)</f>
        <v>88.71</v>
      </c>
      <c r="E81" s="5">
        <f>IFERROR(__xludf.DUMMYFUNCTION("index(GOOGLEFINANCE($A79,""price"",E80),2,2)"),88.5)</f>
        <v>88.5</v>
      </c>
      <c r="F81" s="5">
        <f>IFERROR(__xludf.DUMMYFUNCTION("index(GOOGLEFINANCE($A79,""price"",F80),2,2)"),89.67)</f>
        <v>89.67</v>
      </c>
      <c r="G81" s="5">
        <f>IFERROR(__xludf.DUMMYFUNCTION("index(GOOGLEFINANCE($A79,""price"",G80),2,2)"),89.42)</f>
        <v>89.42</v>
      </c>
      <c r="H81" s="5">
        <f>IFERROR(__xludf.DUMMYFUNCTION("index(GOOGLEFINANCE($A79,""price"",H80),2,2)"),81.57)</f>
        <v>81.57</v>
      </c>
      <c r="I81" s="5">
        <f>IFERROR(__xludf.DUMMYFUNCTION("index(GOOGLEFINANCE($A79,""price"",I80),2,2)"),82.36)</f>
        <v>82.36</v>
      </c>
      <c r="J81" s="5">
        <f>IFERROR(__xludf.DUMMYFUNCTION("index(GOOGLEFINANCE($A79,""price"",J80),2,2)"),83.57)</f>
        <v>83.57</v>
      </c>
      <c r="K81" s="5">
        <f>IFERROR(__xludf.DUMMYFUNCTION("index(GOOGLEFINANCE($A79,""price"",K80),2,2)"),81.81)</f>
        <v>81.81</v>
      </c>
      <c r="L81" s="5">
        <f>IFERROR(__xludf.DUMMYFUNCTION("index(GOOGLEFINANCE($A79,""price"",L80),2,2)"),83.76)</f>
        <v>83.76</v>
      </c>
      <c r="M81" s="5">
        <f>IFERROR(__xludf.DUMMYFUNCTION("index(GOOGLEFINANCE($A79,""price"",M80),2,2)"),86.23)</f>
        <v>86.23</v>
      </c>
      <c r="N81" s="5">
        <f>IFERROR(__xludf.DUMMYFUNCTION("index(GOOGLEFINANCE($A79,""price"",N80),2,2)"),84.12)</f>
        <v>84.12</v>
      </c>
      <c r="O81" s="5">
        <f>IFERROR(__xludf.DUMMYFUNCTION("index(GOOGLEFINANCE($A79,""price"",O80),2,2)"),83.4)</f>
        <v>83.4</v>
      </c>
      <c r="P81" s="22"/>
    </row>
    <row r="82">
      <c r="A82" s="3" t="s">
        <v>3</v>
      </c>
      <c r="C82" s="6">
        <f t="shared" ref="C82:O82" si="16">(C81-$B81)/$B81</f>
        <v>0.009359662139</v>
      </c>
      <c r="D82" s="6">
        <f t="shared" si="16"/>
        <v>0.01255564433</v>
      </c>
      <c r="E82" s="6">
        <f t="shared" si="16"/>
        <v>0.01015865769</v>
      </c>
      <c r="F82" s="6">
        <f t="shared" si="16"/>
        <v>0.02351329757</v>
      </c>
      <c r="G82" s="6">
        <f t="shared" si="16"/>
        <v>0.02065974204</v>
      </c>
      <c r="H82" s="6">
        <f t="shared" si="16"/>
        <v>-0.06894190161</v>
      </c>
      <c r="I82" s="6">
        <f t="shared" si="16"/>
        <v>-0.05992466613</v>
      </c>
      <c r="J82" s="6">
        <f t="shared" si="16"/>
        <v>-0.04611345737</v>
      </c>
      <c r="K82" s="6">
        <f t="shared" si="16"/>
        <v>-0.0662024883</v>
      </c>
      <c r="L82" s="6">
        <f t="shared" si="16"/>
        <v>-0.04394475516</v>
      </c>
      <c r="M82" s="6">
        <f t="shared" si="16"/>
        <v>-0.01575162653</v>
      </c>
      <c r="N82" s="6">
        <f t="shared" si="16"/>
        <v>-0.0398356352</v>
      </c>
      <c r="O82" s="6">
        <f t="shared" si="16"/>
        <v>-0.04805387513</v>
      </c>
      <c r="P82" s="20"/>
    </row>
    <row r="84">
      <c r="A84" s="21" t="s">
        <v>39</v>
      </c>
      <c r="P84" s="22"/>
    </row>
    <row r="85">
      <c r="A85" s="3" t="s">
        <v>1</v>
      </c>
      <c r="B85" s="1">
        <v>44958.0</v>
      </c>
      <c r="C85" s="1">
        <v>44965.0</v>
      </c>
      <c r="D85" s="1">
        <v>44972.0</v>
      </c>
      <c r="E85" s="1">
        <v>44979.0</v>
      </c>
      <c r="F85" s="1">
        <v>44986.0</v>
      </c>
      <c r="G85" s="1">
        <v>44993.0</v>
      </c>
      <c r="H85" s="1">
        <v>45000.0</v>
      </c>
      <c r="I85" s="1">
        <v>45007.0</v>
      </c>
      <c r="J85" s="1">
        <v>45014.0</v>
      </c>
      <c r="K85" s="1">
        <v>45021.0</v>
      </c>
      <c r="L85" s="1">
        <v>45028.0</v>
      </c>
      <c r="M85" s="1">
        <v>45035.0</v>
      </c>
      <c r="N85" s="1">
        <v>45042.0</v>
      </c>
      <c r="O85" s="1">
        <v>45049.0</v>
      </c>
      <c r="P85" s="23"/>
    </row>
    <row r="86">
      <c r="A86" s="3" t="s">
        <v>2</v>
      </c>
      <c r="B86" s="5">
        <f>IFERROR(__xludf.DUMMYFUNCTION("index(GOOGLEFINANCE($A84,""price"",B85),2,2)"),41.69)</f>
        <v>41.69</v>
      </c>
      <c r="C86" s="5">
        <f>IFERROR(__xludf.DUMMYFUNCTION("index(GOOGLEFINANCE($A84,""price"",C85),2,2)"),40.52)</f>
        <v>40.52</v>
      </c>
      <c r="D86" s="5">
        <f>IFERROR(__xludf.DUMMYFUNCTION("index(GOOGLEFINANCE($A84,""price"",D85),2,2)"),40.38)</f>
        <v>40.38</v>
      </c>
      <c r="E86" s="5">
        <f>IFERROR(__xludf.DUMMYFUNCTION("index(GOOGLEFINANCE($A84,""price"",E85),2,2)"),39.28)</f>
        <v>39.28</v>
      </c>
      <c r="F86" s="5">
        <f>IFERROR(__xludf.DUMMYFUNCTION("index(GOOGLEFINANCE($A84,""price"",F85),2,2)"),38.3)</f>
        <v>38.3</v>
      </c>
      <c r="G86" s="5">
        <f>IFERROR(__xludf.DUMMYFUNCTION("index(GOOGLEFINANCE($A84,""price"",G85),2,2)"),37.53)</f>
        <v>37.53</v>
      </c>
      <c r="H86" s="5">
        <f>IFERROR(__xludf.DUMMYFUNCTION("index(GOOGLEFINANCE($A84,""price"",H85),2,2)"),37.06)</f>
        <v>37.06</v>
      </c>
      <c r="I86" s="5">
        <f>IFERROR(__xludf.DUMMYFUNCTION("index(GOOGLEFINANCE($A84,""price"",I85),2,2)"),37.31)</f>
        <v>37.31</v>
      </c>
      <c r="J86" s="5">
        <f>IFERROR(__xludf.DUMMYFUNCTION("index(GOOGLEFINANCE($A84,""price"",J85),2,2)"),38.48)</f>
        <v>38.48</v>
      </c>
      <c r="K86" s="5">
        <f>IFERROR(__xludf.DUMMYFUNCTION("index(GOOGLEFINANCE($A84,""price"",K85),2,2)"),40.11)</f>
        <v>40.11</v>
      </c>
      <c r="L86" s="5">
        <f>IFERROR(__xludf.DUMMYFUNCTION("index(GOOGLEFINANCE($A84,""price"",L85),2,2)"),39.2)</f>
        <v>39.2</v>
      </c>
      <c r="M86" s="5">
        <f>IFERROR(__xludf.DUMMYFUNCTION("index(GOOGLEFINANCE($A84,""price"",M85),2,2)"),38.6)</f>
        <v>38.6</v>
      </c>
      <c r="N86" s="5">
        <f>IFERROR(__xludf.DUMMYFUNCTION("index(GOOGLEFINANCE($A84,""price"",N85),2,2)"),36.92)</f>
        <v>36.92</v>
      </c>
      <c r="O86" s="5">
        <f>IFERROR(__xludf.DUMMYFUNCTION("index(GOOGLEFINANCE($A84,""price"",O85),2,2)"),37.98)</f>
        <v>37.98</v>
      </c>
      <c r="P86" s="22"/>
    </row>
    <row r="87">
      <c r="A87" s="3" t="s">
        <v>3</v>
      </c>
      <c r="C87" s="6">
        <f t="shared" ref="C87:O87" si="17">(C86-$B86)/$B86</f>
        <v>-0.028064284</v>
      </c>
      <c r="D87" s="6">
        <f t="shared" si="17"/>
        <v>-0.03142240345</v>
      </c>
      <c r="E87" s="6">
        <f t="shared" si="17"/>
        <v>-0.05780762773</v>
      </c>
      <c r="F87" s="6">
        <f t="shared" si="17"/>
        <v>-0.0813144639</v>
      </c>
      <c r="G87" s="6">
        <f t="shared" si="17"/>
        <v>-0.09978412089</v>
      </c>
      <c r="H87" s="6">
        <f t="shared" si="17"/>
        <v>-0.1110578076</v>
      </c>
      <c r="I87" s="6">
        <f t="shared" si="17"/>
        <v>-0.1050611657</v>
      </c>
      <c r="J87" s="6">
        <f t="shared" si="17"/>
        <v>-0.07699688175</v>
      </c>
      <c r="K87" s="6">
        <f t="shared" si="17"/>
        <v>-0.03789877669</v>
      </c>
      <c r="L87" s="6">
        <f t="shared" si="17"/>
        <v>-0.05972655313</v>
      </c>
      <c r="M87" s="6">
        <f t="shared" si="17"/>
        <v>-0.07411849364</v>
      </c>
      <c r="N87" s="6">
        <f t="shared" si="17"/>
        <v>-0.1144159271</v>
      </c>
      <c r="O87" s="6">
        <f t="shared" si="17"/>
        <v>-0.08899016551</v>
      </c>
      <c r="P87" s="20"/>
    </row>
    <row r="89">
      <c r="A89" s="21" t="s">
        <v>40</v>
      </c>
      <c r="P89" s="22"/>
    </row>
    <row r="90">
      <c r="A90" s="3" t="s">
        <v>1</v>
      </c>
      <c r="B90" s="1">
        <v>44958.0</v>
      </c>
      <c r="C90" s="1">
        <v>44965.0</v>
      </c>
      <c r="D90" s="1">
        <v>44972.0</v>
      </c>
      <c r="E90" s="1">
        <v>44979.0</v>
      </c>
      <c r="F90" s="1">
        <v>44986.0</v>
      </c>
      <c r="G90" s="1">
        <v>44993.0</v>
      </c>
      <c r="H90" s="1">
        <v>45000.0</v>
      </c>
      <c r="I90" s="1">
        <v>45007.0</v>
      </c>
      <c r="J90" s="1">
        <v>45014.0</v>
      </c>
      <c r="K90" s="1">
        <v>45021.0</v>
      </c>
      <c r="L90" s="1">
        <v>45028.0</v>
      </c>
      <c r="M90" s="1">
        <v>45035.0</v>
      </c>
      <c r="N90" s="1">
        <v>45042.0</v>
      </c>
      <c r="O90" s="1">
        <v>45049.0</v>
      </c>
      <c r="P90" s="23"/>
    </row>
    <row r="91">
      <c r="A91" s="3" t="s">
        <v>2</v>
      </c>
      <c r="B91" s="5">
        <f>IFERROR(__xludf.DUMMYFUNCTION("index(GOOGLEFINANCE($A89,""price"",B90),2,2)"),249.54)</f>
        <v>249.54</v>
      </c>
      <c r="C91" s="5">
        <f>IFERROR(__xludf.DUMMYFUNCTION("index(GOOGLEFINANCE($A89,""price"",C90),2,2)"),248.87)</f>
        <v>248.87</v>
      </c>
      <c r="D91" s="5">
        <f>IFERROR(__xludf.DUMMYFUNCTION("index(GOOGLEFINANCE($A89,""price"",D90),2,2)"),248.7)</f>
        <v>248.7</v>
      </c>
      <c r="E91" s="5">
        <f>IFERROR(__xludf.DUMMYFUNCTION("index(GOOGLEFINANCE($A89,""price"",E90),2,2)"),237.89)</f>
        <v>237.89</v>
      </c>
      <c r="F91" s="5">
        <f>IFERROR(__xludf.DUMMYFUNCTION("index(GOOGLEFINANCE($A89,""price"",F90),2,2)"),248.67)</f>
        <v>248.67</v>
      </c>
      <c r="G91" s="5">
        <f>IFERROR(__xludf.DUMMYFUNCTION("index(GOOGLEFINANCE($A89,""price"",G90),2,2)"),248.72)</f>
        <v>248.72</v>
      </c>
      <c r="H91" s="5">
        <f>IFERROR(__xludf.DUMMYFUNCTION("index(GOOGLEFINANCE($A89,""price"",H90),2,2)"),217.26)</f>
        <v>217.26</v>
      </c>
      <c r="I91" s="5">
        <f>IFERROR(__xludf.DUMMYFUNCTION("index(GOOGLEFINANCE($A89,""price"",I90),2,2)"),219.95)</f>
        <v>219.95</v>
      </c>
      <c r="J91" s="5">
        <f>IFERROR(__xludf.DUMMYFUNCTION("index(GOOGLEFINANCE($A89,""price"",J90),2,2)"),223.0)</f>
        <v>223</v>
      </c>
      <c r="K91" s="5">
        <f>IFERROR(__xludf.DUMMYFUNCTION("index(GOOGLEFINANCE($A89,""price"",K90),2,2)"),213.53)</f>
        <v>213.53</v>
      </c>
      <c r="L91" s="5">
        <f>IFERROR(__xludf.DUMMYFUNCTION("index(GOOGLEFINANCE($A89,""price"",L90),2,2)"),220.5)</f>
        <v>220.5</v>
      </c>
      <c r="M91" s="5">
        <f>IFERROR(__xludf.DUMMYFUNCTION("index(GOOGLEFINANCE($A89,""price"",M90),2,2)"),224.65)</f>
        <v>224.65</v>
      </c>
      <c r="N91" s="5">
        <f>IFERROR(__xludf.DUMMYFUNCTION("index(GOOGLEFINANCE($A89,""price"",N90),2,2)"),216.19)</f>
        <v>216.19</v>
      </c>
      <c r="O91" s="5">
        <f>IFERROR(__xludf.DUMMYFUNCTION("index(GOOGLEFINANCE($A89,""price"",O90),2,2)"),215.64)</f>
        <v>215.64</v>
      </c>
      <c r="P91" s="22"/>
    </row>
    <row r="92">
      <c r="A92" s="3" t="s">
        <v>3</v>
      </c>
      <c r="C92" s="6">
        <f t="shared" ref="C92:O92" si="18">(C91-$B91)/$B91</f>
        <v>-0.00268494029</v>
      </c>
      <c r="D92" s="6">
        <f t="shared" si="18"/>
        <v>-0.003366193797</v>
      </c>
      <c r="E92" s="6">
        <f t="shared" si="18"/>
        <v>-0.04668590206</v>
      </c>
      <c r="F92" s="6">
        <f t="shared" si="18"/>
        <v>-0.003486415004</v>
      </c>
      <c r="G92" s="6">
        <f t="shared" si="18"/>
        <v>-0.003286046325</v>
      </c>
      <c r="H92" s="6">
        <f t="shared" si="18"/>
        <v>-0.1293580188</v>
      </c>
      <c r="I92" s="6">
        <f t="shared" si="18"/>
        <v>-0.1185781839</v>
      </c>
      <c r="J92" s="6">
        <f t="shared" si="18"/>
        <v>-0.1063556945</v>
      </c>
      <c r="K92" s="6">
        <f t="shared" si="18"/>
        <v>-0.1443055222</v>
      </c>
      <c r="L92" s="6">
        <f t="shared" si="18"/>
        <v>-0.1163741284</v>
      </c>
      <c r="M92" s="6">
        <f t="shared" si="18"/>
        <v>-0.09974352809</v>
      </c>
      <c r="N92" s="6">
        <f t="shared" si="18"/>
        <v>-0.1336459085</v>
      </c>
      <c r="O92" s="6">
        <f t="shared" si="18"/>
        <v>-0.1358499639</v>
      </c>
      <c r="P92" s="20"/>
    </row>
    <row r="94">
      <c r="A94" s="24" t="s">
        <v>41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25"/>
    </row>
    <row r="95">
      <c r="A95" s="10" t="s">
        <v>1</v>
      </c>
      <c r="B95" s="11">
        <v>44958.0</v>
      </c>
      <c r="C95" s="11">
        <v>44965.0</v>
      </c>
      <c r="D95" s="11">
        <v>44972.0</v>
      </c>
      <c r="E95" s="11">
        <v>44979.0</v>
      </c>
      <c r="F95" s="11">
        <v>44986.0</v>
      </c>
      <c r="G95" s="11">
        <v>44993.0</v>
      </c>
      <c r="H95" s="11">
        <v>45000.0</v>
      </c>
      <c r="I95" s="11">
        <v>45007.0</v>
      </c>
      <c r="J95" s="11">
        <v>45014.0</v>
      </c>
      <c r="K95" s="11">
        <v>45021.0</v>
      </c>
      <c r="L95" s="11">
        <v>45028.0</v>
      </c>
      <c r="M95" s="11">
        <v>45035.0</v>
      </c>
      <c r="N95" s="11">
        <v>45042.0</v>
      </c>
      <c r="O95" s="11">
        <v>45049.0</v>
      </c>
      <c r="P95" s="26"/>
    </row>
    <row r="96">
      <c r="A96" s="10" t="s">
        <v>2</v>
      </c>
      <c r="B96" s="13">
        <f>IFERROR(__xludf.DUMMYFUNCTION("index(GOOGLEFINANCE($A94,""price"",B95),2,2)"),61.33)</f>
        <v>61.33</v>
      </c>
      <c r="C96" s="13">
        <f>IFERROR(__xludf.DUMMYFUNCTION("index(GOOGLEFINANCE($A94,""price"",C95),2,2)"),59.72)</f>
        <v>59.72</v>
      </c>
      <c r="D96" s="13">
        <f>IFERROR(__xludf.DUMMYFUNCTION("index(GOOGLEFINANCE($A94,""price"",D95),2,2)"),59.59)</f>
        <v>59.59</v>
      </c>
      <c r="E96" s="13">
        <f>IFERROR(__xludf.DUMMYFUNCTION("index(GOOGLEFINANCE($A94,""price"",E95),2,2)"),59.98)</f>
        <v>59.98</v>
      </c>
      <c r="F96" s="13">
        <f>IFERROR(__xludf.DUMMYFUNCTION("index(GOOGLEFINANCE($A94,""price"",F95),2,2)"),58.86)</f>
        <v>58.86</v>
      </c>
      <c r="G96" s="13">
        <f>IFERROR(__xludf.DUMMYFUNCTION("index(GOOGLEFINANCE($A94,""price"",G95),2,2)"),60.04)</f>
        <v>60.04</v>
      </c>
      <c r="H96" s="13">
        <f>IFERROR(__xludf.DUMMYFUNCTION("index(GOOGLEFINANCE($A94,""price"",H95),2,2)"),60.43)</f>
        <v>60.43</v>
      </c>
      <c r="I96" s="13">
        <f>IFERROR(__xludf.DUMMYFUNCTION("index(GOOGLEFINANCE($A94,""price"",I95),2,2)"),60.05)</f>
        <v>60.05</v>
      </c>
      <c r="J96" s="13">
        <f>IFERROR(__xludf.DUMMYFUNCTION("index(GOOGLEFINANCE($A94,""price"",J95),2,2)"),61.86)</f>
        <v>61.86</v>
      </c>
      <c r="K96" s="13">
        <f>IFERROR(__xludf.DUMMYFUNCTION("index(GOOGLEFINANCE($A94,""price"",K95),2,2)"),62.8)</f>
        <v>62.8</v>
      </c>
      <c r="L96" s="13">
        <f>IFERROR(__xludf.DUMMYFUNCTION("index(GOOGLEFINANCE($A94,""price"",L95),2,2)"),62.69)</f>
        <v>62.69</v>
      </c>
      <c r="M96" s="13">
        <f>IFERROR(__xludf.DUMMYFUNCTION("index(GOOGLEFINANCE($A94,""price"",M95),2,2)"),63.68)</f>
        <v>63.68</v>
      </c>
      <c r="N96" s="13">
        <f>IFERROR(__xludf.DUMMYFUNCTION("index(GOOGLEFINANCE($A94,""price"",N95),2,2)"),63.55)</f>
        <v>63.55</v>
      </c>
      <c r="O96" s="12">
        <f>IFERROR(__xludf.DUMMYFUNCTION("index(GOOGLEFINANCE($A94,""price"",O95),2,2)"),63.65)</f>
        <v>63.65</v>
      </c>
      <c r="P96" s="27"/>
    </row>
    <row r="97">
      <c r="A97" s="10" t="s">
        <v>3</v>
      </c>
      <c r="B97" s="10"/>
      <c r="C97" s="14">
        <f t="shared" ref="C97:O97" si="19">(C96-$B96)/$B96</f>
        <v>-0.02625142671</v>
      </c>
      <c r="D97" s="14">
        <f t="shared" si="19"/>
        <v>-0.02837110713</v>
      </c>
      <c r="E97" s="14">
        <f t="shared" si="19"/>
        <v>-0.02201206587</v>
      </c>
      <c r="F97" s="14">
        <f t="shared" si="19"/>
        <v>-0.04027392793</v>
      </c>
      <c r="G97" s="14">
        <f t="shared" si="19"/>
        <v>-0.02103375183</v>
      </c>
      <c r="H97" s="14">
        <f t="shared" si="19"/>
        <v>-0.01467471058</v>
      </c>
      <c r="I97" s="14">
        <f t="shared" si="19"/>
        <v>-0.02087069949</v>
      </c>
      <c r="J97" s="14">
        <f t="shared" si="19"/>
        <v>0.008641774009</v>
      </c>
      <c r="K97" s="14">
        <f t="shared" si="19"/>
        <v>0.02396869395</v>
      </c>
      <c r="L97" s="14">
        <f t="shared" si="19"/>
        <v>0.02217511821</v>
      </c>
      <c r="M97" s="14">
        <f t="shared" si="19"/>
        <v>0.03831729985</v>
      </c>
      <c r="N97" s="14">
        <f t="shared" si="19"/>
        <v>0.03619761944</v>
      </c>
      <c r="O97" s="14">
        <f t="shared" si="19"/>
        <v>0.03782814283</v>
      </c>
      <c r="P97" s="28"/>
    </row>
    <row r="99">
      <c r="A99" s="24" t="s">
        <v>42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25"/>
    </row>
    <row r="100">
      <c r="A100" s="10" t="s">
        <v>1</v>
      </c>
      <c r="B100" s="11">
        <v>44958.0</v>
      </c>
      <c r="C100" s="11">
        <v>44965.0</v>
      </c>
      <c r="D100" s="11">
        <v>44972.0</v>
      </c>
      <c r="E100" s="11">
        <v>44979.0</v>
      </c>
      <c r="F100" s="11">
        <v>44986.0</v>
      </c>
      <c r="G100" s="11">
        <v>44993.0</v>
      </c>
      <c r="H100" s="11">
        <v>45000.0</v>
      </c>
      <c r="I100" s="11">
        <v>45007.0</v>
      </c>
      <c r="J100" s="11">
        <v>45014.0</v>
      </c>
      <c r="K100" s="11">
        <v>45021.0</v>
      </c>
      <c r="L100" s="11">
        <v>45028.0</v>
      </c>
      <c r="M100" s="11">
        <v>45035.0</v>
      </c>
      <c r="N100" s="11">
        <v>45042.0</v>
      </c>
      <c r="O100" s="11">
        <v>45049.0</v>
      </c>
      <c r="P100" s="26"/>
    </row>
    <row r="101">
      <c r="A101" s="10" t="s">
        <v>2</v>
      </c>
      <c r="B101" s="13">
        <f>IFERROR(__xludf.DUMMYFUNCTION("index(GOOGLEFINANCE($A99,""price"",B100),2,2)"),139.59)</f>
        <v>139.59</v>
      </c>
      <c r="C101" s="13">
        <f>IFERROR(__xludf.DUMMYFUNCTION("index(GOOGLEFINANCE($A99,""price"",C100),2,2)"),142.64)</f>
        <v>142.64</v>
      </c>
      <c r="D101" s="13">
        <f>IFERROR(__xludf.DUMMYFUNCTION("index(GOOGLEFINANCE($A99,""price"",D100),2,2)"),143.8)</f>
        <v>143.8</v>
      </c>
      <c r="E101" s="13">
        <f>IFERROR(__xludf.DUMMYFUNCTION("index(GOOGLEFINANCE($A99,""price"",E100),2,2)"),138.56)</f>
        <v>138.56</v>
      </c>
      <c r="F101" s="13">
        <f>IFERROR(__xludf.DUMMYFUNCTION("index(GOOGLEFINANCE($A99,""price"",F100),2,2)"),142.55)</f>
        <v>142.55</v>
      </c>
      <c r="G101" s="13">
        <f>IFERROR(__xludf.DUMMYFUNCTION("index(GOOGLEFINANCE($A99,""price"",G100),2,2)"),137.8)</f>
        <v>137.8</v>
      </c>
      <c r="H101" s="13">
        <f>IFERROR(__xludf.DUMMYFUNCTION("index(GOOGLEFINANCE($A99,""price"",H100),2,2)"),128.26)</f>
        <v>128.26</v>
      </c>
      <c r="I101" s="13">
        <f>IFERROR(__xludf.DUMMYFUNCTION("index(GOOGLEFINANCE($A99,""price"",I100),2,2)"),127.18)</f>
        <v>127.18</v>
      </c>
      <c r="J101" s="13">
        <f>IFERROR(__xludf.DUMMYFUNCTION("index(GOOGLEFINANCE($A99,""price"",J100),2,2)"),129.14)</f>
        <v>129.14</v>
      </c>
      <c r="K101" s="13">
        <f>IFERROR(__xludf.DUMMYFUNCTION("index(GOOGLEFINANCE($A99,""price"",K100),2,2)"),127.61)</f>
        <v>127.61</v>
      </c>
      <c r="L101" s="13">
        <f>IFERROR(__xludf.DUMMYFUNCTION("index(GOOGLEFINANCE($A99,""price"",L100),2,2)"),128.5)</f>
        <v>128.5</v>
      </c>
      <c r="M101" s="13">
        <f>IFERROR(__xludf.DUMMYFUNCTION("index(GOOGLEFINANCE($A99,""price"",M100),2,2)"),141.22)</f>
        <v>141.22</v>
      </c>
      <c r="N101" s="13">
        <f>IFERROR(__xludf.DUMMYFUNCTION("index(GOOGLEFINANCE($A99,""price"",N100),2,2)"),135.23)</f>
        <v>135.23</v>
      </c>
      <c r="O101" s="12">
        <f>IFERROR(__xludf.DUMMYFUNCTION("index(GOOGLEFINANCE($A99,""price"",O100),2,2)"),135.98)</f>
        <v>135.98</v>
      </c>
      <c r="P101" s="27"/>
    </row>
    <row r="102">
      <c r="A102" s="10" t="s">
        <v>3</v>
      </c>
      <c r="B102" s="10"/>
      <c r="C102" s="14">
        <f t="shared" ref="C102:O102" si="20">(C101-$B101)/$B101</f>
        <v>0.0218497027</v>
      </c>
      <c r="D102" s="14">
        <f t="shared" si="20"/>
        <v>0.03015975356</v>
      </c>
      <c r="E102" s="14">
        <f t="shared" si="20"/>
        <v>-0.00737875206</v>
      </c>
      <c r="F102" s="14">
        <f t="shared" si="20"/>
        <v>0.02120495738</v>
      </c>
      <c r="G102" s="14">
        <f t="shared" si="20"/>
        <v>-0.01282326814</v>
      </c>
      <c r="H102" s="14">
        <f t="shared" si="20"/>
        <v>-0.08116627266</v>
      </c>
      <c r="I102" s="14">
        <f t="shared" si="20"/>
        <v>-0.08890321656</v>
      </c>
      <c r="J102" s="14">
        <f t="shared" si="20"/>
        <v>-0.07486209614</v>
      </c>
      <c r="K102" s="14">
        <f t="shared" si="20"/>
        <v>-0.08582276667</v>
      </c>
      <c r="L102" s="14">
        <f t="shared" si="20"/>
        <v>-0.07944695179</v>
      </c>
      <c r="M102" s="14">
        <f t="shared" si="20"/>
        <v>0.01167705423</v>
      </c>
      <c r="N102" s="14">
        <f t="shared" si="20"/>
        <v>-0.03123432911</v>
      </c>
      <c r="O102" s="14">
        <f t="shared" si="20"/>
        <v>-0.02586145139</v>
      </c>
      <c r="P102" s="28"/>
    </row>
    <row r="104">
      <c r="A104" s="24" t="s">
        <v>23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25"/>
    </row>
    <row r="105">
      <c r="A105" s="10" t="s">
        <v>1</v>
      </c>
      <c r="B105" s="11">
        <v>44958.0</v>
      </c>
      <c r="C105" s="11">
        <v>44965.0</v>
      </c>
      <c r="D105" s="11">
        <v>44972.0</v>
      </c>
      <c r="E105" s="11">
        <v>44979.0</v>
      </c>
      <c r="F105" s="11">
        <v>44986.0</v>
      </c>
      <c r="G105" s="11">
        <v>44993.0</v>
      </c>
      <c r="H105" s="11">
        <v>45000.0</v>
      </c>
      <c r="I105" s="11">
        <v>45007.0</v>
      </c>
      <c r="J105" s="11">
        <v>45014.0</v>
      </c>
      <c r="K105" s="11">
        <v>45021.0</v>
      </c>
      <c r="L105" s="11">
        <v>45028.0</v>
      </c>
      <c r="M105" s="11">
        <v>45035.0</v>
      </c>
      <c r="N105" s="11">
        <v>45042.0</v>
      </c>
      <c r="O105" s="11">
        <v>45049.0</v>
      </c>
      <c r="P105" s="26"/>
    </row>
    <row r="106">
      <c r="A106" s="10" t="s">
        <v>2</v>
      </c>
      <c r="B106" s="13">
        <f>IFERROR(__xludf.DUMMYFUNCTION("index(GOOGLEFINANCE($A104,""price"",B105),2,2)"),4119.21)</f>
        <v>4119.21</v>
      </c>
      <c r="C106" s="13">
        <f>IFERROR(__xludf.DUMMYFUNCTION("index(GOOGLEFINANCE($A104,""price"",C105),2,2)"),4117.86)</f>
        <v>4117.86</v>
      </c>
      <c r="D106" s="13">
        <f>IFERROR(__xludf.DUMMYFUNCTION("index(GOOGLEFINANCE($A104,""price"",D105),2,2)"),4147.6)</f>
        <v>4147.6</v>
      </c>
      <c r="E106" s="13">
        <f>IFERROR(__xludf.DUMMYFUNCTION("index(GOOGLEFINANCE($A104,""price"",E105),2,2)"),3991.05)</f>
        <v>3991.05</v>
      </c>
      <c r="F106" s="13">
        <f>IFERROR(__xludf.DUMMYFUNCTION("index(GOOGLEFINANCE($A104,""price"",F105),2,2)"),3951.39)</f>
        <v>3951.39</v>
      </c>
      <c r="G106" s="13">
        <f>IFERROR(__xludf.DUMMYFUNCTION("index(GOOGLEFINANCE($A104,""price"",G105),2,2)"),3992.01)</f>
        <v>3992.01</v>
      </c>
      <c r="H106" s="13">
        <f>IFERROR(__xludf.DUMMYFUNCTION("index(GOOGLEFINANCE($A104,""price"",H105),2,2)"),3891.93)</f>
        <v>3891.93</v>
      </c>
      <c r="I106" s="13">
        <f>IFERROR(__xludf.DUMMYFUNCTION("index(GOOGLEFINANCE($A104,""price"",I105),2,2)"),3936.97)</f>
        <v>3936.97</v>
      </c>
      <c r="J106" s="13">
        <f>IFERROR(__xludf.DUMMYFUNCTION("index(GOOGLEFINANCE($A104,""price"",J105),2,2)"),4027.81)</f>
        <v>4027.81</v>
      </c>
      <c r="K106" s="13">
        <f>IFERROR(__xludf.DUMMYFUNCTION("index(GOOGLEFINANCE($A104,""price"",K105),2,2)"),4090.38)</f>
        <v>4090.38</v>
      </c>
      <c r="L106" s="13">
        <f>IFERROR(__xludf.DUMMYFUNCTION("index(GOOGLEFINANCE($A104,""price"",L105),2,2)"),4091.95)</f>
        <v>4091.95</v>
      </c>
      <c r="M106" s="13">
        <f>IFERROR(__xludf.DUMMYFUNCTION("index(GOOGLEFINANCE($A104,""price"",M105),2,2)"),4154.52)</f>
        <v>4154.52</v>
      </c>
      <c r="N106" s="13">
        <f>IFERROR(__xludf.DUMMYFUNCTION("index(GOOGLEFINANCE($A104,""price"",N105),2,2)"),4055.99)</f>
        <v>4055.99</v>
      </c>
      <c r="O106" s="12">
        <f>IFERROR(__xludf.DUMMYFUNCTION("index(GOOGLEFINANCE($A104,""price"",O105),2,2)"),4090.75)</f>
        <v>4090.75</v>
      </c>
      <c r="P106" s="27"/>
    </row>
    <row r="107">
      <c r="A107" s="10" t="s">
        <v>3</v>
      </c>
      <c r="B107" s="10"/>
      <c r="C107" s="14">
        <f t="shared" ref="C107:O107" si="21">(C106-$B106)/$B106</f>
        <v>-0.0003277327449</v>
      </c>
      <c r="D107" s="14">
        <f t="shared" si="21"/>
        <v>0.006892098242</v>
      </c>
      <c r="E107" s="14">
        <f t="shared" si="21"/>
        <v>-0.03111276191</v>
      </c>
      <c r="F107" s="14">
        <f t="shared" si="21"/>
        <v>-0.04074082166</v>
      </c>
      <c r="G107" s="14">
        <f t="shared" si="21"/>
        <v>-0.03087970752</v>
      </c>
      <c r="H107" s="14">
        <f t="shared" si="21"/>
        <v>-0.05517562834</v>
      </c>
      <c r="I107" s="14">
        <f t="shared" si="21"/>
        <v>-0.04424149291</v>
      </c>
      <c r="J107" s="14">
        <f t="shared" si="21"/>
        <v>-0.02218872065</v>
      </c>
      <c r="K107" s="14">
        <f t="shared" si="21"/>
        <v>-0.00699891484</v>
      </c>
      <c r="L107" s="14">
        <f t="shared" si="21"/>
        <v>-0.006617773796</v>
      </c>
      <c r="M107" s="14">
        <f t="shared" si="21"/>
        <v>0.008572032016</v>
      </c>
      <c r="N107" s="14">
        <f t="shared" si="21"/>
        <v>-0.01534760306</v>
      </c>
      <c r="O107" s="14">
        <f t="shared" si="21"/>
        <v>-0.006909091792</v>
      </c>
      <c r="P107" s="28"/>
    </row>
    <row r="108">
      <c r="N108" s="28"/>
    </row>
    <row r="109">
      <c r="A109" s="29" t="s">
        <v>1</v>
      </c>
      <c r="B109" s="30"/>
      <c r="C109" s="31">
        <f t="shared" ref="C109:O109" si="22">C105</f>
        <v>44965</v>
      </c>
      <c r="D109" s="31">
        <f t="shared" si="22"/>
        <v>44972</v>
      </c>
      <c r="E109" s="31">
        <f t="shared" si="22"/>
        <v>44979</v>
      </c>
      <c r="F109" s="31">
        <f t="shared" si="22"/>
        <v>44986</v>
      </c>
      <c r="G109" s="31">
        <f t="shared" si="22"/>
        <v>44993</v>
      </c>
      <c r="H109" s="31">
        <f t="shared" si="22"/>
        <v>45000</v>
      </c>
      <c r="I109" s="31">
        <f t="shared" si="22"/>
        <v>45007</v>
      </c>
      <c r="J109" s="31">
        <f t="shared" si="22"/>
        <v>45014</v>
      </c>
      <c r="K109" s="31">
        <f t="shared" si="22"/>
        <v>45021</v>
      </c>
      <c r="L109" s="31">
        <f t="shared" si="22"/>
        <v>45028</v>
      </c>
      <c r="M109" s="31">
        <f t="shared" si="22"/>
        <v>45035</v>
      </c>
      <c r="N109" s="31">
        <f t="shared" si="22"/>
        <v>45042</v>
      </c>
      <c r="O109" s="31">
        <f t="shared" si="22"/>
        <v>45049</v>
      </c>
      <c r="P109" s="25"/>
    </row>
    <row r="110">
      <c r="A110" s="29" t="s">
        <v>43</v>
      </c>
      <c r="B110" s="18"/>
      <c r="C110" s="19">
        <f t="shared" ref="C110:O110" si="23">AVERAGE(C102,C97,C92,C87,C82,C77,C72,C67,C62,C57,C52,C47,C42,C37,C32,C27,C22,C17,C12)</f>
        <v>-0.00675346595</v>
      </c>
      <c r="D110" s="19">
        <f t="shared" si="23"/>
        <v>-0.004140044026</v>
      </c>
      <c r="E110" s="19">
        <f t="shared" si="23"/>
        <v>-0.02659818411</v>
      </c>
      <c r="F110" s="19">
        <f t="shared" si="23"/>
        <v>-0.0175135349</v>
      </c>
      <c r="G110" s="19">
        <f t="shared" si="23"/>
        <v>-0.02627006629</v>
      </c>
      <c r="H110" s="19">
        <f t="shared" si="23"/>
        <v>-0.09737302795</v>
      </c>
      <c r="I110" s="19">
        <f t="shared" si="23"/>
        <v>-0.09139192423</v>
      </c>
      <c r="J110" s="19">
        <f t="shared" si="23"/>
        <v>-0.06941536178</v>
      </c>
      <c r="K110" s="19">
        <f t="shared" si="23"/>
        <v>-0.05637232783</v>
      </c>
      <c r="L110" s="19">
        <f t="shared" si="23"/>
        <v>-0.04817911289</v>
      </c>
      <c r="M110" s="19">
        <f t="shared" si="23"/>
        <v>-0.03650765968</v>
      </c>
      <c r="N110" s="19">
        <f t="shared" si="23"/>
        <v>-0.06805800276</v>
      </c>
      <c r="O110" s="19">
        <f t="shared" si="23"/>
        <v>-0.06954152874</v>
      </c>
      <c r="P110" s="12"/>
    </row>
    <row r="111">
      <c r="A111" s="29" t="s">
        <v>28</v>
      </c>
      <c r="B111" s="32"/>
      <c r="C111" s="19">
        <f t="shared" ref="C111:O111" si="24">C22</f>
        <v>0.01479505215</v>
      </c>
      <c r="D111" s="19">
        <f t="shared" si="24"/>
        <v>0.03807906864</v>
      </c>
      <c r="E111" s="19">
        <f t="shared" si="24"/>
        <v>0.01406742663</v>
      </c>
      <c r="F111" s="19">
        <f t="shared" si="24"/>
        <v>-0.01916080524</v>
      </c>
      <c r="G111" s="19">
        <f t="shared" si="24"/>
        <v>-0.05966529226</v>
      </c>
      <c r="H111" s="19">
        <f t="shared" si="24"/>
        <v>-0.09022556391</v>
      </c>
      <c r="I111" s="19">
        <f t="shared" si="24"/>
        <v>-0.07640067912</v>
      </c>
      <c r="J111" s="19">
        <f t="shared" si="24"/>
        <v>-0.05117632792</v>
      </c>
      <c r="K111" s="19">
        <f t="shared" si="24"/>
        <v>-0.01042929905</v>
      </c>
      <c r="L111" s="19">
        <f t="shared" si="24"/>
        <v>0.01552267766</v>
      </c>
      <c r="M111" s="19">
        <f t="shared" si="24"/>
        <v>0.063060878</v>
      </c>
      <c r="N111" s="19">
        <f t="shared" si="24"/>
        <v>0.01067184089</v>
      </c>
      <c r="O111" s="19">
        <f t="shared" si="24"/>
        <v>0.09531894252</v>
      </c>
      <c r="P111" s="13"/>
    </row>
    <row r="112">
      <c r="A112" s="16" t="s">
        <v>23</v>
      </c>
      <c r="B112" s="17"/>
      <c r="C112" s="19">
        <f t="shared" ref="C112:O112" si="25">C107</f>
        <v>-0.0003277327449</v>
      </c>
      <c r="D112" s="19">
        <f t="shared" si="25"/>
        <v>0.006892098242</v>
      </c>
      <c r="E112" s="19">
        <f t="shared" si="25"/>
        <v>-0.03111276191</v>
      </c>
      <c r="F112" s="19">
        <f t="shared" si="25"/>
        <v>-0.04074082166</v>
      </c>
      <c r="G112" s="19">
        <f t="shared" si="25"/>
        <v>-0.03087970752</v>
      </c>
      <c r="H112" s="19">
        <f t="shared" si="25"/>
        <v>-0.05517562834</v>
      </c>
      <c r="I112" s="19">
        <f t="shared" si="25"/>
        <v>-0.04424149291</v>
      </c>
      <c r="J112" s="19">
        <f t="shared" si="25"/>
        <v>-0.02218872065</v>
      </c>
      <c r="K112" s="19">
        <f t="shared" si="25"/>
        <v>-0.00699891484</v>
      </c>
      <c r="L112" s="19">
        <f t="shared" si="25"/>
        <v>-0.006617773796</v>
      </c>
      <c r="M112" s="19">
        <f t="shared" si="25"/>
        <v>0.008572032016</v>
      </c>
      <c r="N112" s="19">
        <f t="shared" si="25"/>
        <v>-0.01534760306</v>
      </c>
      <c r="O112" s="19">
        <f t="shared" si="25"/>
        <v>-0.006909091792</v>
      </c>
      <c r="P112" s="14"/>
    </row>
    <row r="114">
      <c r="A114" s="33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</row>
    <row r="115">
      <c r="A115" s="25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26"/>
    </row>
    <row r="116">
      <c r="A116" s="25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6"/>
      <c r="P116" s="27"/>
    </row>
    <row r="117">
      <c r="A117" s="25"/>
      <c r="B117" s="25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35"/>
      <c r="P117" s="28"/>
    </row>
    <row r="119">
      <c r="A119" s="33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</row>
    <row r="120">
      <c r="A120" s="25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26"/>
    </row>
    <row r="121">
      <c r="A121" s="25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6"/>
      <c r="P121" s="27"/>
    </row>
    <row r="122">
      <c r="A122" s="25"/>
      <c r="B122" s="25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35"/>
      <c r="P122" s="28"/>
    </row>
    <row r="124">
      <c r="A124" s="33"/>
      <c r="B124" s="25"/>
      <c r="C124" s="25"/>
      <c r="D124" s="25"/>
      <c r="E124" s="25"/>
      <c r="F124" s="25"/>
      <c r="G124" s="25"/>
      <c r="H124" s="25"/>
      <c r="I124" s="25"/>
      <c r="J124" s="36"/>
      <c r="K124" s="25"/>
      <c r="L124" s="25"/>
      <c r="M124" s="25"/>
      <c r="N124" s="25"/>
      <c r="O124" s="25"/>
      <c r="P124" s="25"/>
    </row>
    <row r="125">
      <c r="A125" s="25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26"/>
    </row>
    <row r="126">
      <c r="A126" s="25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6"/>
      <c r="P126" s="27"/>
    </row>
    <row r="127">
      <c r="A127" s="25"/>
      <c r="B127" s="25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35"/>
      <c r="P127" s="28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